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alumnizamorano-my.sharepoint.com/personal/mjcalix_zamorano_edu/Documents/Documents/Datos/ZAMORANO/2021/Trimestre 3/BID/Cohorte 9 - Tarija/Módulos/Módulo 2 - Planeación de Actividades/"/>
    </mc:Choice>
  </mc:AlternateContent>
  <xr:revisionPtr revIDLastSave="41" documentId="8_{4AC332EB-BAFF-40B3-84C8-3C08F81132F3}" xr6:coauthVersionLast="47" xr6:coauthVersionMax="47" xr10:uidLastSave="{00212CCD-042D-439F-9843-D92AA72FF8EE}"/>
  <bookViews>
    <workbookView xWindow="-120" yWindow="-120" windowWidth="21840" windowHeight="13020" tabRatio="835" activeTab="4" xr2:uid="{00000000-000D-0000-FFFF-FFFF00000000}"/>
  </bookViews>
  <sheets>
    <sheet name="Supuestos" sheetId="4" r:id="rId1"/>
    <sheet name="Inversiones" sheetId="7" r:id="rId2"/>
    <sheet name="Suplemento y Heno" sheetId="10" r:id="rId3"/>
    <sheet name="Gastos Operativos" sheetId="8" r:id="rId4"/>
    <sheet name="Planeación de Actividades" sheetId="2" r:id="rId5"/>
    <sheet name="Costos Variables-Pradera+Heno " sheetId="11" state="hidden" r:id="rId6"/>
    <sheet name="Costos Variables-Pradera+Suplem" sheetId="12" state="hidden" r:id="rId7"/>
    <sheet name="Análisis Económico - Pradera" sheetId="9" state="hidden" r:id="rId8"/>
    <sheet name="Análisis Económico-Pradera+Heno" sheetId="13" state="hidden" r:id="rId9"/>
    <sheet name="Análisis Económico-Pradera+Supl" sheetId="14" state="hidden" r:id="rId10"/>
  </sheets>
  <externalReferences>
    <externalReference r:id="rId11"/>
  </externalReferences>
  <definedNames>
    <definedName name="___2_Return___Charges_Tracking_per_Container" localSheetId="3">#REF!</definedName>
    <definedName name="___2_Return___Charges_Tracking_per_Container">#REF!</definedName>
    <definedName name="__2_Return___Charges_Tracking_per_Container" localSheetId="3">#REF!</definedName>
    <definedName name="__2_Return___Charges_Tracking_per_Container">#REF!</definedName>
    <definedName name="_1_2_Return___Charges_Tracking_per_Container" localSheetId="3">#REF!</definedName>
    <definedName name="_1_2_Return___Charges_Tracking_per_Container">#REF!</definedName>
    <definedName name="_2_Return___Charges_Tracking_per_Container" localSheetId="3">#REF!</definedName>
    <definedName name="_2_Return___Charges_Tracking_per_Container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anualCount" hidden="1">4</definedName>
    <definedName name="_AtRisk_SimSetting_MultipleCPUMode" hidden="1">0</definedName>
    <definedName name="_AtRisk_SimSetting_MultipleCPUModeV8" hidden="1">2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1792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1792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"YVYEVAG37JP25KANFYFVXC23"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USDHKD">'[1]Transaction reserves'!$D$2</definedName>
    <definedName name="USDLPS">'[1]Transaction reserves'!$F$2</definedName>
    <definedName name="USDRMB">'[1]Transaction reserves'!$B$2</definedName>
    <definedName name="固定资产清单" localSheetId="3">#REF!</definedName>
    <definedName name="固定资产清单">#REF!</definedName>
    <definedName name="试算平衡表" localSheetId="3">#REF!</definedName>
    <definedName name="试算平衡表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2" l="1"/>
  <c r="J9" i="7"/>
  <c r="J8" i="7"/>
  <c r="E29" i="14"/>
  <c r="D29" i="14"/>
  <c r="C29" i="14"/>
  <c r="D13" i="14"/>
  <c r="D11" i="14" s="1"/>
  <c r="D10" i="14"/>
  <c r="C13" i="14"/>
  <c r="C10" i="14"/>
  <c r="E12" i="14"/>
  <c r="D12" i="14"/>
  <c r="E9" i="14"/>
  <c r="D9" i="14"/>
  <c r="C12" i="14"/>
  <c r="C9" i="14"/>
  <c r="E13" i="14"/>
  <c r="C11" i="14"/>
  <c r="E10" i="14"/>
  <c r="E8" i="14" s="1"/>
  <c r="E13" i="9"/>
  <c r="E10" i="9"/>
  <c r="E8" i="9" s="1"/>
  <c r="E13" i="13"/>
  <c r="E8" i="13"/>
  <c r="E10" i="13"/>
  <c r="E12" i="13"/>
  <c r="D13" i="13"/>
  <c r="D10" i="13"/>
  <c r="D8" i="13" s="1"/>
  <c r="C13" i="13"/>
  <c r="C10" i="13"/>
  <c r="D12" i="13"/>
  <c r="D11" i="13" s="1"/>
  <c r="E9" i="13"/>
  <c r="D9" i="13"/>
  <c r="C12" i="13"/>
  <c r="C9" i="13"/>
  <c r="D29" i="9"/>
  <c r="C29" i="9"/>
  <c r="D11" i="9"/>
  <c r="D8" i="9"/>
  <c r="D10" i="9"/>
  <c r="D7" i="9"/>
  <c r="D9" i="9"/>
  <c r="C11" i="9"/>
  <c r="C8" i="9"/>
  <c r="O18" i="4"/>
  <c r="O17" i="4"/>
  <c r="T16" i="4"/>
  <c r="T38" i="4"/>
  <c r="T27" i="4"/>
  <c r="O27" i="4"/>
  <c r="L40" i="4"/>
  <c r="L39" i="4"/>
  <c r="L38" i="4"/>
  <c r="L29" i="4"/>
  <c r="O29" i="4" s="1"/>
  <c r="L28" i="4"/>
  <c r="O28" i="4" s="1"/>
  <c r="L27" i="4"/>
  <c r="L18" i="4"/>
  <c r="L17" i="4"/>
  <c r="L16" i="4"/>
  <c r="O16" i="4" s="1"/>
  <c r="H40" i="4"/>
  <c r="H42" i="4" s="1"/>
  <c r="H29" i="4"/>
  <c r="H31" i="4" s="1"/>
  <c r="H18" i="4"/>
  <c r="E35" i="12"/>
  <c r="E34" i="12"/>
  <c r="E11" i="12"/>
  <c r="C5" i="12"/>
  <c r="D36" i="12" s="1"/>
  <c r="E35" i="11"/>
  <c r="E34" i="11"/>
  <c r="D31" i="11"/>
  <c r="F29" i="11"/>
  <c r="F19" i="11"/>
  <c r="F11" i="11"/>
  <c r="G11" i="11" s="1"/>
  <c r="E11" i="11"/>
  <c r="C5" i="11"/>
  <c r="D36" i="11" s="1"/>
  <c r="T11" i="10"/>
  <c r="U8" i="10"/>
  <c r="U7" i="10"/>
  <c r="C10" i="10"/>
  <c r="C11" i="10" s="1"/>
  <c r="C7" i="10"/>
  <c r="C8" i="10" s="1"/>
  <c r="E11" i="14" l="1"/>
  <c r="E7" i="14" s="1"/>
  <c r="D8" i="14"/>
  <c r="D7" i="14" s="1"/>
  <c r="C8" i="14"/>
  <c r="C7" i="14" s="1"/>
  <c r="E11" i="13"/>
  <c r="C11" i="13"/>
  <c r="E7" i="13"/>
  <c r="E29" i="13" s="1"/>
  <c r="D7" i="13"/>
  <c r="D29" i="13" s="1"/>
  <c r="C8" i="13"/>
  <c r="E11" i="9"/>
  <c r="F31" i="11"/>
  <c r="G31" i="11" s="1"/>
  <c r="H31" i="11" s="1"/>
  <c r="D33" i="11"/>
  <c r="O40" i="4"/>
  <c r="O38" i="4"/>
  <c r="H41" i="4"/>
  <c r="O39" i="4" s="1"/>
  <c r="H30" i="4"/>
  <c r="F11" i="12"/>
  <c r="G11" i="12" s="1"/>
  <c r="H11" i="12" s="1"/>
  <c r="H12" i="12" s="1"/>
  <c r="D27" i="11"/>
  <c r="F27" i="11"/>
  <c r="F36" i="11"/>
  <c r="G36" i="11" s="1"/>
  <c r="H36" i="11" s="1"/>
  <c r="D29" i="11"/>
  <c r="G29" i="11" s="1"/>
  <c r="H29" i="11" s="1"/>
  <c r="D44" i="11"/>
  <c r="D44" i="12"/>
  <c r="G12" i="12"/>
  <c r="F19" i="12"/>
  <c r="D29" i="12"/>
  <c r="D31" i="12"/>
  <c r="D33" i="12"/>
  <c r="F27" i="12"/>
  <c r="F29" i="12"/>
  <c r="F31" i="12"/>
  <c r="F33" i="12"/>
  <c r="D35" i="12"/>
  <c r="F44" i="12"/>
  <c r="D27" i="12"/>
  <c r="F35" i="12"/>
  <c r="F18" i="12"/>
  <c r="G18" i="12" s="1"/>
  <c r="H18" i="12" s="1"/>
  <c r="F20" i="12"/>
  <c r="D28" i="12"/>
  <c r="G28" i="12" s="1"/>
  <c r="H28" i="12" s="1"/>
  <c r="D30" i="12"/>
  <c r="D32" i="12"/>
  <c r="D34" i="12"/>
  <c r="G34" i="12" s="1"/>
  <c r="H34" i="12" s="1"/>
  <c r="D43" i="12"/>
  <c r="F28" i="12"/>
  <c r="F30" i="12"/>
  <c r="F32" i="12"/>
  <c r="F43" i="12"/>
  <c r="F36" i="12"/>
  <c r="G36" i="12" s="1"/>
  <c r="H36" i="12" s="1"/>
  <c r="F34" i="12"/>
  <c r="G12" i="11"/>
  <c r="H11" i="11"/>
  <c r="H12" i="11" s="1"/>
  <c r="F33" i="11"/>
  <c r="G33" i="11" s="1"/>
  <c r="H33" i="11" s="1"/>
  <c r="D35" i="11"/>
  <c r="F44" i="11"/>
  <c r="F35" i="11"/>
  <c r="F18" i="11"/>
  <c r="G18" i="11" s="1"/>
  <c r="H18" i="11" s="1"/>
  <c r="F20" i="11"/>
  <c r="D28" i="11"/>
  <c r="D30" i="11"/>
  <c r="D32" i="11"/>
  <c r="D34" i="11"/>
  <c r="D43" i="11"/>
  <c r="F30" i="11"/>
  <c r="F32" i="11"/>
  <c r="F43" i="11"/>
  <c r="F28" i="11"/>
  <c r="F34" i="11"/>
  <c r="D6" i="10"/>
  <c r="C7" i="13" l="1"/>
  <c r="C29" i="13" s="1"/>
  <c r="G43" i="12"/>
  <c r="G27" i="12"/>
  <c r="H27" i="12" s="1"/>
  <c r="G31" i="12"/>
  <c r="H31" i="12" s="1"/>
  <c r="G44" i="11"/>
  <c r="H44" i="11" s="1"/>
  <c r="G29" i="12"/>
  <c r="H29" i="12" s="1"/>
  <c r="G35" i="12"/>
  <c r="H35" i="12" s="1"/>
  <c r="G30" i="12"/>
  <c r="H30" i="12" s="1"/>
  <c r="G44" i="12"/>
  <c r="H44" i="12" s="1"/>
  <c r="G34" i="11"/>
  <c r="H34" i="11" s="1"/>
  <c r="G35" i="11"/>
  <c r="H35" i="11" s="1"/>
  <c r="G27" i="11"/>
  <c r="H27" i="11" s="1"/>
  <c r="G32" i="11"/>
  <c r="G37" i="11" s="1"/>
  <c r="G30" i="11"/>
  <c r="H30" i="11" s="1"/>
  <c r="H43" i="12"/>
  <c r="H46" i="12" s="1"/>
  <c r="G32" i="12"/>
  <c r="G33" i="12"/>
  <c r="H33" i="12" s="1"/>
  <c r="G28" i="11"/>
  <c r="H28" i="11" s="1"/>
  <c r="G43" i="11"/>
  <c r="D7" i="10"/>
  <c r="D8" i="10" s="1"/>
  <c r="D10" i="10"/>
  <c r="E6" i="10"/>
  <c r="C12" i="9"/>
  <c r="C9" i="9"/>
  <c r="D12" i="9"/>
  <c r="E12" i="9"/>
  <c r="E9" i="9"/>
  <c r="H20" i="4"/>
  <c r="H19" i="4"/>
  <c r="J12" i="7"/>
  <c r="J13" i="7"/>
  <c r="J14" i="7"/>
  <c r="I12" i="7"/>
  <c r="I13" i="7"/>
  <c r="I14" i="7"/>
  <c r="F12" i="7"/>
  <c r="F13" i="7"/>
  <c r="F14" i="7"/>
  <c r="H14" i="7"/>
  <c r="H13" i="7"/>
  <c r="H12" i="7"/>
  <c r="E8" i="8"/>
  <c r="H9" i="7"/>
  <c r="H10" i="7"/>
  <c r="H11" i="7"/>
  <c r="H8" i="7"/>
  <c r="D11" i="7"/>
  <c r="D10" i="7"/>
  <c r="F10" i="7" s="1"/>
  <c r="F9" i="7"/>
  <c r="F8" i="7"/>
  <c r="I8" i="7" s="1"/>
  <c r="E11" i="8"/>
  <c r="E9" i="8"/>
  <c r="E10" i="8"/>
  <c r="E7" i="8"/>
  <c r="C7" i="2"/>
  <c r="E13" i="2"/>
  <c r="D11" i="10" l="1"/>
  <c r="D12" i="10" s="1"/>
  <c r="D13" i="10" s="1"/>
  <c r="G46" i="12"/>
  <c r="C13" i="9"/>
  <c r="H32" i="11"/>
  <c r="H37" i="11" s="1"/>
  <c r="C10" i="9"/>
  <c r="H32" i="12"/>
  <c r="H37" i="12" s="1"/>
  <c r="G37" i="12"/>
  <c r="H43" i="11"/>
  <c r="H46" i="11" s="1"/>
  <c r="G46" i="11"/>
  <c r="D13" i="9"/>
  <c r="S12" i="10"/>
  <c r="S13" i="10" s="1"/>
  <c r="K12" i="10"/>
  <c r="K13" i="10" s="1"/>
  <c r="C12" i="10"/>
  <c r="D34" i="2"/>
  <c r="D33" i="2"/>
  <c r="I12" i="10"/>
  <c r="I13" i="10" s="1"/>
  <c r="O12" i="10"/>
  <c r="O13" i="10" s="1"/>
  <c r="D36" i="2"/>
  <c r="R12" i="10"/>
  <c r="R13" i="10" s="1"/>
  <c r="J12" i="10"/>
  <c r="J13" i="10" s="1"/>
  <c r="C9" i="10"/>
  <c r="Q12" i="10"/>
  <c r="Q13" i="10" s="1"/>
  <c r="N12" i="10"/>
  <c r="N13" i="10" s="1"/>
  <c r="M12" i="10"/>
  <c r="M13" i="10" s="1"/>
  <c r="L12" i="10"/>
  <c r="L13" i="10" s="1"/>
  <c r="P12" i="10"/>
  <c r="P13" i="10" s="1"/>
  <c r="H12" i="10"/>
  <c r="H13" i="10" s="1"/>
  <c r="T12" i="10"/>
  <c r="T13" i="10" s="1"/>
  <c r="D35" i="2"/>
  <c r="F11" i="7"/>
  <c r="J11" i="7" s="1"/>
  <c r="D9" i="10"/>
  <c r="E7" i="10"/>
  <c r="E8" i="10" s="1"/>
  <c r="E9" i="10" s="1"/>
  <c r="E10" i="10"/>
  <c r="E11" i="10" s="1"/>
  <c r="E12" i="10" s="1"/>
  <c r="E13" i="10" s="1"/>
  <c r="F6" i="10"/>
  <c r="F21" i="2"/>
  <c r="G21" i="2" s="1"/>
  <c r="H21" i="2" s="1"/>
  <c r="G6" i="10"/>
  <c r="D47" i="2"/>
  <c r="F47" i="2"/>
  <c r="J10" i="7"/>
  <c r="I9" i="7"/>
  <c r="I10" i="7"/>
  <c r="F46" i="2"/>
  <c r="D46" i="2"/>
  <c r="F33" i="2"/>
  <c r="F34" i="2"/>
  <c r="D37" i="2"/>
  <c r="F39" i="2"/>
  <c r="F32" i="2"/>
  <c r="F35" i="2"/>
  <c r="D31" i="2"/>
  <c r="D39" i="2"/>
  <c r="F37" i="2"/>
  <c r="D32" i="2"/>
  <c r="F30" i="2"/>
  <c r="D30" i="2"/>
  <c r="D38" i="2"/>
  <c r="F36" i="2"/>
  <c r="F31" i="2"/>
  <c r="F38" i="2"/>
  <c r="F13" i="2"/>
  <c r="G13" i="2" s="1"/>
  <c r="F22" i="2"/>
  <c r="F23" i="2"/>
  <c r="D20" i="11" l="1"/>
  <c r="C13" i="10"/>
  <c r="I11" i="7"/>
  <c r="I15" i="7" s="1"/>
  <c r="C7" i="9"/>
  <c r="F7" i="10"/>
  <c r="F8" i="10" s="1"/>
  <c r="F9" i="10" s="1"/>
  <c r="F10" i="10"/>
  <c r="G7" i="10"/>
  <c r="G8" i="10" s="1"/>
  <c r="G9" i="10" s="1"/>
  <c r="G10" i="10"/>
  <c r="G11" i="10" s="1"/>
  <c r="G12" i="10" s="1"/>
  <c r="G13" i="10" s="1"/>
  <c r="G32" i="2"/>
  <c r="H32" i="2" s="1"/>
  <c r="G46" i="2"/>
  <c r="H46" i="2" s="1"/>
  <c r="G47" i="2"/>
  <c r="H47" i="2" s="1"/>
  <c r="H6" i="10"/>
  <c r="H7" i="10" s="1"/>
  <c r="J15" i="7"/>
  <c r="D12" i="8" s="1"/>
  <c r="E12" i="8" s="1"/>
  <c r="E13" i="8" s="1"/>
  <c r="G35" i="2"/>
  <c r="H35" i="2" s="1"/>
  <c r="G34" i="2"/>
  <c r="H34" i="2" s="1"/>
  <c r="G30" i="2"/>
  <c r="H30" i="2" s="1"/>
  <c r="G31" i="2"/>
  <c r="H31" i="2" s="1"/>
  <c r="G33" i="2"/>
  <c r="H33" i="2" s="1"/>
  <c r="G36" i="2"/>
  <c r="H36" i="2" s="1"/>
  <c r="G39" i="2"/>
  <c r="H39" i="2" s="1"/>
  <c r="H13" i="2"/>
  <c r="H15" i="2" s="1"/>
  <c r="G15" i="2"/>
  <c r="C21" i="9" l="1"/>
  <c r="D21" i="9" s="1"/>
  <c r="E21" i="9" s="1"/>
  <c r="C21" i="13"/>
  <c r="D21" i="13" s="1"/>
  <c r="E21" i="13" s="1"/>
  <c r="C21" i="14"/>
  <c r="D21" i="14" s="1"/>
  <c r="E21" i="14" s="1"/>
  <c r="U10" i="10"/>
  <c r="F11" i="10"/>
  <c r="F12" i="10" s="1"/>
  <c r="F13" i="10" s="1"/>
  <c r="U13" i="10" s="1"/>
  <c r="D20" i="12" s="1"/>
  <c r="G20" i="12" s="1"/>
  <c r="G20" i="11"/>
  <c r="E7" i="9"/>
  <c r="E29" i="9" s="1"/>
  <c r="H49" i="2"/>
  <c r="G49" i="2"/>
  <c r="H10" i="10"/>
  <c r="H11" i="10" s="1"/>
  <c r="I6" i="10"/>
  <c r="I7" i="10" s="1"/>
  <c r="H8" i="10"/>
  <c r="H9" i="10" s="1"/>
  <c r="U11" i="10" l="1"/>
  <c r="U12" i="10"/>
  <c r="D23" i="2"/>
  <c r="H20" i="11"/>
  <c r="H21" i="11" s="1"/>
  <c r="H49" i="11" s="1"/>
  <c r="C20" i="13" s="1"/>
  <c r="I10" i="10"/>
  <c r="J6" i="10"/>
  <c r="J7" i="10" s="1"/>
  <c r="E38" i="2"/>
  <c r="E37" i="2"/>
  <c r="D20" i="13" l="1"/>
  <c r="C22" i="13"/>
  <c r="C30" i="13" s="1"/>
  <c r="C31" i="13" s="1"/>
  <c r="C33" i="13" s="1"/>
  <c r="I8" i="10"/>
  <c r="I9" i="10" s="1"/>
  <c r="J8" i="10"/>
  <c r="J9" i="10" s="1"/>
  <c r="K6" i="10"/>
  <c r="K7" i="10" s="1"/>
  <c r="J10" i="10"/>
  <c r="J11" i="10" s="1"/>
  <c r="I11" i="10"/>
  <c r="G37" i="2"/>
  <c r="G38" i="2"/>
  <c r="H38" i="2" s="1"/>
  <c r="E20" i="13" l="1"/>
  <c r="E22" i="13" s="1"/>
  <c r="E30" i="13" s="1"/>
  <c r="E31" i="13" s="1"/>
  <c r="E33" i="13" s="1"/>
  <c r="D22" i="13"/>
  <c r="D30" i="13" s="1"/>
  <c r="D31" i="13" s="1"/>
  <c r="D33" i="13" s="1"/>
  <c r="K8" i="10"/>
  <c r="K9" i="10" s="1"/>
  <c r="L6" i="10"/>
  <c r="L7" i="10" s="1"/>
  <c r="K10" i="10"/>
  <c r="H37" i="2"/>
  <c r="H40" i="2" s="1"/>
  <c r="G40" i="2"/>
  <c r="M6" i="10" l="1"/>
  <c r="M7" i="10" s="1"/>
  <c r="L8" i="10"/>
  <c r="L9" i="10" s="1"/>
  <c r="L10" i="10"/>
  <c r="L11" i="10" s="1"/>
  <c r="K11" i="10"/>
  <c r="M8" i="10" l="1"/>
  <c r="M9" i="10" s="1"/>
  <c r="D19" i="12" s="1"/>
  <c r="M10" i="10"/>
  <c r="M11" i="10" s="1"/>
  <c r="N6" i="10"/>
  <c r="N7" i="10" s="1"/>
  <c r="O6" i="10" l="1"/>
  <c r="O7" i="10" s="1"/>
  <c r="N10" i="10"/>
  <c r="N11" i="10" s="1"/>
  <c r="N8" i="10"/>
  <c r="N9" i="10" s="1"/>
  <c r="O10" i="10" l="1"/>
  <c r="O11" i="10" s="1"/>
  <c r="P6" i="10"/>
  <c r="P7" i="10" s="1"/>
  <c r="O8" i="10"/>
  <c r="O9" i="10" s="1"/>
  <c r="P10" i="10" l="1"/>
  <c r="P11" i="10" s="1"/>
  <c r="P8" i="10"/>
  <c r="P9" i="10" s="1"/>
  <c r="Q6" i="10"/>
  <c r="Q7" i="10" s="1"/>
  <c r="Q10" i="10" l="1"/>
  <c r="Q11" i="10" s="1"/>
  <c r="Q8" i="10"/>
  <c r="Q9" i="10" s="1"/>
  <c r="R6" i="10"/>
  <c r="R7" i="10" s="1"/>
  <c r="S6" i="10" l="1"/>
  <c r="S7" i="10" s="1"/>
  <c r="R8" i="10"/>
  <c r="R9" i="10" s="1"/>
  <c r="R10" i="10"/>
  <c r="R11" i="10" s="1"/>
  <c r="S8" i="10" l="1"/>
  <c r="S9" i="10" s="1"/>
  <c r="S10" i="10"/>
  <c r="S11" i="10" s="1"/>
  <c r="T6" i="10"/>
  <c r="T7" i="10" s="1"/>
  <c r="T10" i="10" l="1"/>
  <c r="T8" i="10" l="1"/>
  <c r="T9" i="10" s="1"/>
  <c r="U9" i="10" s="1"/>
  <c r="D22" i="2" l="1"/>
  <c r="G22" i="2" s="1"/>
  <c r="H22" i="2" s="1"/>
  <c r="H24" i="2" s="1"/>
  <c r="H52" i="2" s="1"/>
  <c r="H65" i="2" s="1"/>
  <c r="D19" i="11"/>
  <c r="G19" i="11" s="1"/>
  <c r="G19" i="12"/>
  <c r="H19" i="12" s="1"/>
  <c r="H21" i="12" l="1"/>
  <c r="H49" i="12" s="1"/>
  <c r="C20" i="14" s="1"/>
  <c r="G23" i="2"/>
  <c r="D20" i="14" l="1"/>
  <c r="C22" i="14"/>
  <c r="C30" i="14" s="1"/>
  <c r="C31" i="14" s="1"/>
  <c r="C33" i="14" s="1"/>
  <c r="C20" i="9"/>
  <c r="D20" i="9" l="1"/>
  <c r="C22" i="9"/>
  <c r="C30" i="9" s="1"/>
  <c r="C31" i="9" s="1"/>
  <c r="C33" i="9" s="1"/>
  <c r="E20" i="14"/>
  <c r="E22" i="14" s="1"/>
  <c r="D22" i="14"/>
  <c r="D30" i="14" s="1"/>
  <c r="D31" i="14" s="1"/>
  <c r="D33" i="14" s="1"/>
  <c r="E30" i="14" l="1"/>
  <c r="E31" i="14" s="1"/>
  <c r="E33" i="14" s="1"/>
  <c r="E20" i="9"/>
  <c r="E22" i="9" s="1"/>
  <c r="E30" i="9" s="1"/>
  <c r="E31" i="9" s="1"/>
  <c r="E33" i="9" s="1"/>
  <c r="D22" i="9"/>
  <c r="D30" i="9" s="1"/>
  <c r="D31" i="9" s="1"/>
  <c r="D3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22" authorId="0" shapeId="0" xr:uid="{941A6F6C-DDC9-4EFE-8E1D-29F3D1B27DCC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B30" authorId="0" shapeId="0" xr:uid="{E2DED70A-8372-46C6-882D-BE6DE21EEBFB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 xr:uid="{2328166E-88B6-4B1B-9EDE-CB6CCE9C0C96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B31" authorId="0" shapeId="0" xr:uid="{071EA851-6BE2-42D1-9A4E-2F567187AF00}">
      <text>
        <r>
          <rPr>
            <b/>
            <sz val="9"/>
            <color indexed="81"/>
            <rFont val="Tahoma"/>
            <family val="2"/>
          </rPr>
          <t>1 vez al año</t>
        </r>
      </text>
    </comment>
    <comment ref="C31" authorId="0" shapeId="0" xr:uid="{39DEBBB7-C809-43E8-8294-5EB78F4BAC17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B32" authorId="0" shapeId="0" xr:uid="{A65B9260-CB06-46C4-B9D2-F912777F9A67}">
      <text>
        <r>
          <rPr>
            <b/>
            <sz val="9"/>
            <color indexed="81"/>
            <rFont val="Tahoma"/>
            <family val="2"/>
          </rPr>
          <t>1 vez al año</t>
        </r>
      </text>
    </comment>
    <comment ref="C32" authorId="0" shapeId="0" xr:uid="{86907003-A679-4BC1-A7D6-2D8A788AD457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3" authorId="0" shapeId="0" xr:uid="{FBD390D2-FD5A-429C-9538-AFD85ACF229C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0" shapeId="0" xr:uid="{DC05542C-0784-4F0E-BFFB-195FBF73C198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B34" authorId="0" shapeId="0" xr:uid="{B9DFB570-60CE-409E-AA50-1D3A864DF751}">
      <text>
        <r>
          <rPr>
            <b/>
            <sz val="9"/>
            <color indexed="81"/>
            <rFont val="Tahoma"/>
            <family val="2"/>
          </rPr>
          <t>1 jeringa por cada 10 inyecciones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0" shapeId="0" xr:uid="{BF907FFB-D35F-46A7-B7EB-F0CDF8FD6578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5" authorId="0" shapeId="0" xr:uid="{02BE7CE7-2CAE-4EA8-B7B3-85649CD4CFD8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5" authorId="0" shapeId="0" xr:uid="{BD9C18B6-CE47-407D-8C0E-4AF834F5B11B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0" shapeId="0" xr:uid="{DE4E214A-1D33-42D5-8BFE-648B0A5A7744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7" authorId="0" shapeId="0" xr:uid="{A8F0DFC6-2288-4BC5-9B4A-7293935C3BA5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7" authorId="0" shapeId="0" xr:uid="{3A2A1B1D-1437-4622-B4B6-E0F6630A2FA3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B38" authorId="0" shapeId="0" xr:uid="{C4B6BEDA-CEDA-407A-9BE0-3748023039F4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046BBA0B-B53F-4C6D-84C3-DCF933535060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" authorId="0" shapeId="0" xr:uid="{A9809B23-6D23-4E8B-B884-A65DF1B59454}">
      <text>
        <r>
          <rPr>
            <b/>
            <sz val="9"/>
            <color indexed="81"/>
            <rFont val="Tahoma"/>
            <family val="2"/>
          </rPr>
          <t>Según necesidad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9" authorId="0" shapeId="0" xr:uid="{87B0BB6F-8B19-4778-B108-198499D89668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19" authorId="0" shapeId="0" xr:uid="{78B34315-57C7-48DF-8852-26204CA52F14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C27" authorId="0" shapeId="0" xr:uid="{A9FF81DF-E193-47B6-9795-DDC210D50594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C28" authorId="0" shapeId="0" xr:uid="{5590768D-1873-4101-B0FD-4D7AC5C44D09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29" authorId="0" shapeId="0" xr:uid="{1D359A5E-2112-432D-AB4E-0E0AFD5364DA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 xr:uid="{FAD704CE-E12E-46FB-9B4C-2B2FDA3D8004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1" authorId="0" shapeId="0" xr:uid="{FCD6DA65-4715-473C-80A5-C4CE4E6309CB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 shapeId="0" xr:uid="{AA661414-5B7D-4C32-A1C5-239179184ED3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2" authorId="0" shapeId="0" xr:uid="{28482F88-B400-4772-A4EA-C5C1F859C510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0" shapeId="0" xr:uid="{6FF78341-9F69-4440-A439-E7421B79F5B6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8CF35510-F1F2-418B-A06F-A45D38BA02C5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4" authorId="0" shapeId="0" xr:uid="{2CC0C2A7-43B4-4C92-B44E-C4FCA1C72BFA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C35" authorId="0" shapeId="0" xr:uid="{D6DEE2C5-4FF3-4653-B6FD-3061293D59E6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0" shapeId="0" xr:uid="{2947487D-6D54-4C68-9180-C1E0F1BCA521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Marvin Josue Calix Morales</author>
  </authors>
  <commentList>
    <comment ref="E19" authorId="0" shapeId="0" xr:uid="{48622A4A-0C28-4050-B328-1CF8BCB56451}">
      <text>
        <r>
          <rPr>
            <b/>
            <sz val="9"/>
            <color indexed="81"/>
            <rFont val="Tahoma"/>
            <family val="2"/>
          </rPr>
          <t>Periodo de estiaje (escacez de pasto): 
Agosto - Octubre 
Temporada de lluvia: 
Noviembre - Mayo</t>
        </r>
      </text>
    </comment>
    <comment ref="C27" authorId="0" shapeId="0" xr:uid="{142FCC21-0025-4BC9-9248-18CF9607D5C9}">
      <text>
        <r>
          <rPr>
            <b/>
            <sz val="9"/>
            <color indexed="81"/>
            <rFont val="Tahoma"/>
            <family val="2"/>
          </rPr>
          <t>0.67 cc en los 2 años por cada llama.</t>
        </r>
      </text>
    </comment>
    <comment ref="C28" authorId="0" shapeId="0" xr:uid="{F068567A-2FA5-4A12-93A0-CE32E78BFFFD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29" authorId="0" shapeId="0" xr:uid="{E97ECB98-475B-4614-B3E3-A1DA4D8F5ECA}">
      <text>
        <r>
          <rPr>
            <b/>
            <sz val="9"/>
            <color indexed="81"/>
            <rFont val="Tahoma"/>
            <family val="2"/>
          </rPr>
          <t>0.83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0" authorId="0" shapeId="0" xr:uid="{68CAB9CF-3CFA-4C6E-9683-9A36800B9929}">
      <text>
        <r>
          <rPr>
            <b/>
            <sz val="9"/>
            <color indexed="81"/>
            <rFont val="Tahoma"/>
            <family val="2"/>
          </rPr>
          <t>4 cc en los 2 años por cada llama.</t>
        </r>
      </text>
    </comment>
    <comment ref="C31" authorId="0" shapeId="0" xr:uid="{486CF939-3C76-4A9E-8252-060429D3C3CC}">
      <text>
        <r>
          <rPr>
            <b/>
            <sz val="9"/>
            <color indexed="81"/>
            <rFont val="Tahoma"/>
            <family val="2"/>
          </rPr>
          <t>2 jeringas desechables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2" authorId="0" shapeId="0" xr:uid="{159C9161-F97F-433F-8F14-86FD2D3158A7}">
      <text>
        <r>
          <rPr>
            <b/>
            <sz val="9"/>
            <color indexed="81"/>
            <rFont val="Tahoma"/>
            <family val="2"/>
          </rPr>
          <t>Caravanas = aretes en las orejas del animal</t>
        </r>
      </text>
    </comment>
    <comment ref="C32" authorId="0" shapeId="0" xr:uid="{7E1FD1B3-00F8-4C10-B880-6D88025BFB26}">
      <text>
        <r>
          <rPr>
            <b/>
            <sz val="9"/>
            <color indexed="81"/>
            <rFont val="Tahoma"/>
            <family val="2"/>
          </rPr>
          <t>1 caravana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3" authorId="0" shapeId="0" xr:uid="{F8FC2475-9921-44C5-AB49-7F9FB9142117}">
      <text>
        <r>
          <rPr>
            <b/>
            <sz val="9"/>
            <color indexed="81"/>
            <rFont val="Tahoma"/>
            <family val="2"/>
          </rPr>
          <t>1 hoja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84995C9B-C7B9-4CE1-A721-C88557A2C329}">
      <text>
        <r>
          <rPr>
            <b/>
            <sz val="9"/>
            <color indexed="81"/>
            <rFont val="Tahoma"/>
            <family val="2"/>
          </rPr>
          <t>Matabicheras = Al nacimiento para desinfección de ombligos
En caso de heridas, castraciones.</t>
        </r>
      </text>
    </comment>
    <comment ref="C34" authorId="0" shapeId="0" xr:uid="{7AE67330-9AF3-4DE0-8F82-DC99EFF6D9C3}">
      <text>
        <r>
          <rPr>
            <b/>
            <sz val="9"/>
            <color indexed="81"/>
            <rFont val="Tahoma"/>
            <family val="2"/>
          </rPr>
          <t>1 metabichera en los 2 años por cada llama.</t>
        </r>
      </text>
    </comment>
    <comment ref="C35" authorId="0" shapeId="0" xr:uid="{14182B8F-AA8D-4229-8F3E-DE797D13A15C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6" authorId="0" shapeId="0" xr:uid="{2DBE2E3F-F495-4F54-ADAD-57953A8B5D85}">
      <text>
        <r>
          <rPr>
            <b/>
            <sz val="9"/>
            <color indexed="81"/>
            <rFont val="Tahoma"/>
            <family val="2"/>
          </rPr>
          <t>2 cc en los 2 años por cada llama.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<sst xmlns="http://schemas.openxmlformats.org/spreadsheetml/2006/main" count="735" uniqueCount="155">
  <si>
    <t>Cercos perimetrales</t>
  </si>
  <si>
    <t>Alquiler Pastura nativa</t>
  </si>
  <si>
    <t>Corral</t>
  </si>
  <si>
    <t>cc/ 2 año</t>
  </si>
  <si>
    <t>unid/ 2 año</t>
  </si>
  <si>
    <t>unidad</t>
  </si>
  <si>
    <t>Cerco</t>
  </si>
  <si>
    <t>Calcificantes vitaminas y minerales</t>
  </si>
  <si>
    <t>Jeringas desechables de 10 ml</t>
  </si>
  <si>
    <t>Caravanas numeradas medianas</t>
  </si>
  <si>
    <t>Costo de faena</t>
  </si>
  <si>
    <r>
      <t xml:space="preserve">Bebederos </t>
    </r>
    <r>
      <rPr>
        <b/>
        <sz val="11"/>
        <color rgb="FFFF0000"/>
        <rFont val="Calibri"/>
        <family val="2"/>
        <scheme val="minor"/>
      </rPr>
      <t>( 2 a 3 )</t>
    </r>
  </si>
  <si>
    <r>
      <t xml:space="preserve">Comederos </t>
    </r>
    <r>
      <rPr>
        <b/>
        <sz val="11"/>
        <color rgb="FFFF0000"/>
        <rFont val="Calibri"/>
        <family val="2"/>
        <scheme val="minor"/>
      </rPr>
      <t>( 2 a 3 )</t>
    </r>
    <r>
      <rPr>
        <sz val="11"/>
        <color theme="1"/>
        <rFont val="Calibri"/>
        <family val="2"/>
        <scheme val="minor"/>
      </rPr>
      <t xml:space="preserve"> 5 m x 0.8 m</t>
    </r>
  </si>
  <si>
    <t>Unidad</t>
  </si>
  <si>
    <t>Kg</t>
  </si>
  <si>
    <t>Costo Total</t>
  </si>
  <si>
    <t>Heno de alfalfa, cebada</t>
  </si>
  <si>
    <r>
      <t xml:space="preserve">Corral de manejo </t>
    </r>
    <r>
      <rPr>
        <b/>
        <sz val="11"/>
        <color rgb="FFFF0000"/>
        <rFont val="Calibri"/>
        <family val="2"/>
        <scheme val="minor"/>
      </rPr>
      <t>(100 cabezas)</t>
    </r>
  </si>
  <si>
    <t>Meses</t>
  </si>
  <si>
    <t>Mensual</t>
  </si>
  <si>
    <t>Peso (Kg)</t>
  </si>
  <si>
    <t>Pacas</t>
  </si>
  <si>
    <t>Frecuencia al año</t>
  </si>
  <si>
    <t>Según necesidad</t>
  </si>
  <si>
    <t>1 vez al año</t>
  </si>
  <si>
    <t>Antibióticos amplio espectro</t>
  </si>
  <si>
    <t>Antiparasitarios interno vía oral</t>
  </si>
  <si>
    <t xml:space="preserve">Antiparasitarios externo para baños </t>
  </si>
  <si>
    <t>Una jeringa por cada 10 inyecciones aplicadas</t>
  </si>
  <si>
    <t>Matabicheras/cicatrizante</t>
  </si>
  <si>
    <t>Anticépticos agua oxigenada</t>
  </si>
  <si>
    <t>Yodopobidona/anticéptico</t>
  </si>
  <si>
    <t>Aplicador de caravana</t>
  </si>
  <si>
    <t>Hojas de visturí</t>
  </si>
  <si>
    <t>Estuche quirúrjico</t>
  </si>
  <si>
    <t>Jeringa mecánica o pistola</t>
  </si>
  <si>
    <t>Extra</t>
  </si>
  <si>
    <t>Primera</t>
  </si>
  <si>
    <t>1. Financieros</t>
  </si>
  <si>
    <t xml:space="preserve">3. Mercado: Producto - Demanda - Precios </t>
  </si>
  <si>
    <t>Concepto</t>
  </si>
  <si>
    <t>Valor</t>
  </si>
  <si>
    <t>Horizonte de tiempo (años)</t>
  </si>
  <si>
    <t>Unidades</t>
  </si>
  <si>
    <t>Cantidad</t>
  </si>
  <si>
    <t>Financiamiento bancario (plazo en años)</t>
  </si>
  <si>
    <t>Financiamiento bancario (monto)</t>
  </si>
  <si>
    <t>Tasa Impuesto sobre la Renta (ISR)</t>
  </si>
  <si>
    <t>Dividendos</t>
  </si>
  <si>
    <t>Salario mínimo diario (1 jornal)</t>
  </si>
  <si>
    <t>Lote</t>
  </si>
  <si>
    <t>Total</t>
  </si>
  <si>
    <t>Financiamiento bancario (tasa)</t>
  </si>
  <si>
    <t>Llamas</t>
  </si>
  <si>
    <t>Costo de transporte a matadero</t>
  </si>
  <si>
    <t>Peso de ancuta destetada (a 7 meses)</t>
  </si>
  <si>
    <t>Explotación pecuaria</t>
  </si>
  <si>
    <t>Peso vivo de llama adulta (a 24 meses)</t>
  </si>
  <si>
    <t>Rendimiento de la canal entera (52% del peso vivo)</t>
  </si>
  <si>
    <t>2. Coeficientes Técnicos - Aspectos técnicos</t>
  </si>
  <si>
    <t>Aspecto técnico</t>
  </si>
  <si>
    <t>Cantidad por llama (unidad animal)</t>
  </si>
  <si>
    <t>Cantidad por lote (100 unidades animales)</t>
  </si>
  <si>
    <t>Lotes</t>
  </si>
  <si>
    <t>Unidades animales por lote</t>
  </si>
  <si>
    <t>Producción</t>
  </si>
  <si>
    <t>Unidad animal</t>
  </si>
  <si>
    <t xml:space="preserve">Costos de Producción de Camélidos </t>
  </si>
  <si>
    <t>Producción (Unidades animales)</t>
  </si>
  <si>
    <t>Actividad</t>
  </si>
  <si>
    <t>Costo Unitario</t>
  </si>
  <si>
    <t>Costo por llama</t>
  </si>
  <si>
    <t>1. Inventario</t>
  </si>
  <si>
    <r>
      <rPr>
        <b/>
        <sz val="11"/>
        <color rgb="FFFF0000"/>
        <rFont val="Arial"/>
        <family val="2"/>
      </rPr>
      <t xml:space="preserve">Ancuta </t>
    </r>
    <r>
      <rPr>
        <sz val="11"/>
        <color theme="1"/>
        <rFont val="Arial"/>
        <family val="2"/>
      </rPr>
      <t xml:space="preserve">destetada a 7 meses </t>
    </r>
    <r>
      <rPr>
        <b/>
        <sz val="11"/>
        <color rgb="FFFF0000"/>
        <rFont val="Arial"/>
        <family val="2"/>
      </rPr>
      <t>Peso Vivo 45 kg</t>
    </r>
  </si>
  <si>
    <t>Producto / Activo</t>
  </si>
  <si>
    <t>Insumo / Tipo de alimento</t>
  </si>
  <si>
    <t>2. Alimentación</t>
  </si>
  <si>
    <t>3. Sanidad Animal</t>
  </si>
  <si>
    <t>4. Cosecha - Transporte y sacrificio</t>
  </si>
  <si>
    <t>Costos Fijos</t>
  </si>
  <si>
    <t>Depreciaciones</t>
  </si>
  <si>
    <t>Servicios públicos</t>
  </si>
  <si>
    <t>Descripción</t>
  </si>
  <si>
    <t>Gastos Operativos</t>
  </si>
  <si>
    <t>Servicios de consultorías</t>
  </si>
  <si>
    <t>Mantenimiento y reparación de potreros</t>
  </si>
  <si>
    <t>Salario del pastor de llamas (17 meses)</t>
  </si>
  <si>
    <t>Veces</t>
  </si>
  <si>
    <t>Infraestructura / Equipos</t>
  </si>
  <si>
    <t>1. Inversiones en Activos Fijos</t>
  </si>
  <si>
    <t>Depreciación Mensual</t>
  </si>
  <si>
    <t>Vida Útil (años)</t>
  </si>
  <si>
    <t>Vida Útil (meses)</t>
  </si>
  <si>
    <t>Depreciación Anual</t>
  </si>
  <si>
    <t>Salario del dueño</t>
  </si>
  <si>
    <t>Costos Fijos Totales</t>
  </si>
  <si>
    <t>Total de Costos Variables</t>
  </si>
  <si>
    <t>Ingreso por ventas</t>
  </si>
  <si>
    <t xml:space="preserve">     Precio</t>
  </si>
  <si>
    <t xml:space="preserve">     Cantidad</t>
  </si>
  <si>
    <t>Tipo de carne</t>
  </si>
  <si>
    <t>Precio / Kg</t>
  </si>
  <si>
    <t>Costos Variables</t>
  </si>
  <si>
    <t>1. Ingresos por Ventas</t>
  </si>
  <si>
    <t>2. Costos totales</t>
  </si>
  <si>
    <t>Llama</t>
  </si>
  <si>
    <t>Costos Totales</t>
  </si>
  <si>
    <t>3. Utilidades</t>
  </si>
  <si>
    <t>Utilidades</t>
  </si>
  <si>
    <r>
      <t xml:space="preserve">Rendimiento carne </t>
    </r>
    <r>
      <rPr>
        <b/>
        <sz val="12"/>
        <color theme="1"/>
        <rFont val="Arial"/>
        <family val="2"/>
      </rPr>
      <t>Tipo Extra</t>
    </r>
    <r>
      <rPr>
        <sz val="12"/>
        <color theme="1"/>
        <rFont val="Arial"/>
        <family val="2"/>
      </rPr>
      <t xml:space="preserve"> (70% de la canal entera)</t>
    </r>
  </si>
  <si>
    <r>
      <t xml:space="preserve">Rendimiento carne </t>
    </r>
    <r>
      <rPr>
        <b/>
        <sz val="12"/>
        <color theme="1"/>
        <rFont val="Arial"/>
        <family val="2"/>
      </rPr>
      <t>Tipo Extra</t>
    </r>
    <r>
      <rPr>
        <sz val="12"/>
        <color theme="1"/>
        <rFont val="Arial"/>
        <family val="2"/>
      </rPr>
      <t xml:space="preserve"> (30% de la canal entera)</t>
    </r>
  </si>
  <si>
    <t xml:space="preserve">Demanda Carne </t>
  </si>
  <si>
    <t>Rentabilidad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</si>
  <si>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</si>
  <si>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</si>
  <si>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</si>
  <si>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</si>
  <si>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</si>
  <si>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</si>
  <si>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</si>
  <si>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</si>
  <si>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</si>
  <si>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</si>
  <si>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</si>
  <si>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</si>
  <si>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</si>
  <si>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r>
      <t xml:space="preserve">Rendimiento carne </t>
    </r>
    <r>
      <rPr>
        <b/>
        <sz val="12"/>
        <color theme="1"/>
        <rFont val="Arial"/>
        <family val="2"/>
      </rPr>
      <t>Tipo Primera</t>
    </r>
    <r>
      <rPr>
        <sz val="12"/>
        <color theme="1"/>
        <rFont val="Arial"/>
        <family val="2"/>
      </rPr>
      <t xml:space="preserve"> (70% de la canal entera)</t>
    </r>
  </si>
  <si>
    <t>Pradera</t>
  </si>
  <si>
    <t>Suplemento alimenticio menores (balanceado)</t>
  </si>
  <si>
    <t>Lluvia</t>
  </si>
  <si>
    <t>Suplemento (kg) / llama / día</t>
  </si>
  <si>
    <t>Suplemento (kg) / llama / mes</t>
  </si>
  <si>
    <t>Heno (kg) / llama / día</t>
  </si>
  <si>
    <t>Heno (kg) / llama / mes</t>
  </si>
  <si>
    <t>Suplemento (kg) / lote</t>
  </si>
  <si>
    <t>Heno (kg) / lote</t>
  </si>
  <si>
    <t>Pacas / lote</t>
  </si>
  <si>
    <t xml:space="preserve">1 Paca de heno = 22 Kg </t>
  </si>
  <si>
    <t>Pradera + suplementación</t>
  </si>
  <si>
    <t>Rendimiento: peso vivo en kg de llama adulta (a 24 meses)</t>
  </si>
  <si>
    <t>Pradera + heno</t>
  </si>
  <si>
    <t>Tipo de Sistema Producción</t>
  </si>
  <si>
    <t>1. Pradera</t>
  </si>
  <si>
    <t>2. Pradera + Heno</t>
  </si>
  <si>
    <t>3. Pradera + Suplementación</t>
  </si>
  <si>
    <t>Análisis Económico Producción de Llamas - Pradera</t>
  </si>
  <si>
    <t>Análisis Económico Producción de Llamas - Pradera + Heno</t>
  </si>
  <si>
    <t>Análisis Económico Producción de Llamas - Pradera + Suplementación</t>
  </si>
  <si>
    <t>5. Gastos operativos</t>
  </si>
  <si>
    <t>Total costos fijos</t>
  </si>
  <si>
    <t>Insumos / Actividades</t>
  </si>
  <si>
    <t>Actividad / Gasto</t>
  </si>
  <si>
    <r>
      <t xml:space="preserve">Plan de Actividades - </t>
    </r>
    <r>
      <rPr>
        <b/>
        <sz val="18"/>
        <color rgb="FFFF0000"/>
        <rFont val="Arial"/>
        <family val="2"/>
      </rPr>
      <t>Recría de llamas</t>
    </r>
  </si>
  <si>
    <t>1. Inventario/ compra de ancutas</t>
  </si>
  <si>
    <t>Pesar las ancutas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</si>
</sst>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"/>
    <numFmt numFmtId="165" formatCode="#,##0_ ;[Red]\-#,##0\ "/>
    <numFmt numFmtId="166" formatCode="#,##0.00_ ;[Red]\-#,##0.00\ "/>
    <numFmt numFmtId="167" formatCode="#,##0.0_ ;[Red]\-#,##0.0\ "/>
    <numFmt numFmtId="168" formatCode="_ * #,##0_ ;_ * \-#,##0_ ;_ * &quot;-&quot;??_ ;_ @_ 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6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0070C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0070C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2"/>
      <color indexed="8"/>
      <name val="Arial"/>
      <family val="2"/>
    </font>
    <font>
      <sz val="8"/>
      <name val="Calibri"/>
      <family val="2"/>
      <scheme val="minor"/>
    </font>
    <font>
      <sz val="12"/>
      <color rgb="FF0070C0"/>
      <name val="Arial"/>
      <family val="2"/>
    </font>
    <font>
      <b/>
      <sz val="14"/>
      <color rgb="FFFF0000"/>
      <name val="Arial"/>
      <family val="2"/>
    </font>
    <font>
      <b/>
      <sz val="18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9D5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AFAF"/>
        <bgColor indexed="64"/>
      </patternFill>
    </fill>
    <fill>
      <patternFill patternType="solid">
        <fgColor rgb="FF00DA6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696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7" fillId="0" borderId="0"/>
    <xf numFmtId="0" fontId="4" fillId="0" borderId="0"/>
    <xf numFmtId="43" fontId="4" fillId="0" borderId="0" applyFont="0" applyFill="0" applyBorder="0" applyAlignment="0" applyProtection="0"/>
  </cellStyleXfs>
  <cellXfs count="217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6" fillId="3" borderId="1" xfId="0" applyFont="1" applyFill="1" applyBorder="1" applyAlignment="1">
      <alignment vertical="center"/>
    </xf>
    <xf numFmtId="3" fontId="0" fillId="0" borderId="1" xfId="0" applyNumberForma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6" fillId="0" borderId="0" xfId="0" applyFont="1"/>
    <xf numFmtId="4" fontId="10" fillId="0" borderId="0" xfId="0" applyNumberFormat="1" applyFont="1" applyAlignment="1">
      <alignment horizontal="center"/>
    </xf>
    <xf numFmtId="0" fontId="10" fillId="0" borderId="25" xfId="0" applyFont="1" applyBorder="1"/>
    <xf numFmtId="0" fontId="10" fillId="0" borderId="25" xfId="0" applyFont="1" applyBorder="1" applyAlignment="1">
      <alignment horizontal="center"/>
    </xf>
    <xf numFmtId="4" fontId="10" fillId="0" borderId="25" xfId="0" applyNumberFormat="1" applyFont="1" applyBorder="1" applyAlignment="1">
      <alignment horizontal="center"/>
    </xf>
    <xf numFmtId="3" fontId="10" fillId="0" borderId="25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0" fontId="9" fillId="0" borderId="0" xfId="0" applyFont="1"/>
    <xf numFmtId="0" fontId="14" fillId="0" borderId="3" xfId="0" applyFont="1" applyBorder="1"/>
    <xf numFmtId="2" fontId="9" fillId="0" borderId="1" xfId="0" applyNumberFormat="1" applyFont="1" applyBorder="1" applyAlignment="1">
      <alignment horizontal="center"/>
    </xf>
    <xf numFmtId="0" fontId="19" fillId="5" borderId="1" xfId="0" applyFont="1" applyFill="1" applyBorder="1" applyAlignment="1">
      <alignment horizontal="left" vertical="center"/>
    </xf>
    <xf numFmtId="0" fontId="20" fillId="6" borderId="0" xfId="0" applyFont="1" applyFill="1" applyAlignment="1">
      <alignment vertical="center"/>
    </xf>
    <xf numFmtId="0" fontId="21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21" fillId="4" borderId="13" xfId="0" applyFont="1" applyFill="1" applyBorder="1"/>
    <xf numFmtId="4" fontId="21" fillId="4" borderId="13" xfId="0" applyNumberFormat="1" applyFont="1" applyFill="1" applyBorder="1" applyAlignment="1">
      <alignment horizontal="center"/>
    </xf>
    <xf numFmtId="3" fontId="21" fillId="4" borderId="13" xfId="0" applyNumberFormat="1" applyFont="1" applyFill="1" applyBorder="1" applyAlignment="1">
      <alignment horizontal="center"/>
    </xf>
    <xf numFmtId="0" fontId="23" fillId="0" borderId="0" xfId="0" applyFont="1" applyAlignment="1">
      <alignment horizontal="center"/>
    </xf>
    <xf numFmtId="0" fontId="14" fillId="0" borderId="0" xfId="2" applyFont="1">
      <alignment vertical="center"/>
    </xf>
    <xf numFmtId="168" fontId="16" fillId="4" borderId="13" xfId="6" applyNumberFormat="1" applyFont="1" applyFill="1" applyBorder="1" applyAlignment="1">
      <alignment horizontal="left" vertical="center"/>
    </xf>
    <xf numFmtId="168" fontId="24" fillId="0" borderId="1" xfId="6" applyNumberFormat="1" applyFont="1" applyFill="1" applyBorder="1" applyAlignment="1">
      <alignment horizontal="left" vertical="center"/>
    </xf>
    <xf numFmtId="0" fontId="16" fillId="3" borderId="1" xfId="6" applyNumberFormat="1" applyFont="1" applyFill="1" applyBorder="1" applyAlignment="1">
      <alignment horizontal="center" vertical="center" wrapText="1"/>
    </xf>
    <xf numFmtId="1" fontId="24" fillId="0" borderId="1" xfId="6" applyNumberFormat="1" applyFont="1" applyFill="1" applyBorder="1" applyAlignment="1">
      <alignment horizontal="center" vertical="center"/>
    </xf>
    <xf numFmtId="3" fontId="24" fillId="0" borderId="1" xfId="6" applyNumberFormat="1" applyFont="1" applyFill="1" applyBorder="1" applyAlignment="1">
      <alignment horizontal="center" vertical="center"/>
    </xf>
    <xf numFmtId="3" fontId="24" fillId="0" borderId="1" xfId="6" applyNumberFormat="1" applyFont="1" applyFill="1" applyBorder="1" applyAlignment="1">
      <alignment horizontal="left" vertical="center"/>
    </xf>
    <xf numFmtId="3" fontId="16" fillId="4" borderId="13" xfId="6" applyNumberFormat="1" applyFont="1" applyFill="1" applyBorder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6" fillId="7" borderId="13" xfId="0" applyFont="1" applyFill="1" applyBorder="1"/>
    <xf numFmtId="0" fontId="10" fillId="7" borderId="13" xfId="0" applyFont="1" applyFill="1" applyBorder="1"/>
    <xf numFmtId="0" fontId="10" fillId="7" borderId="13" xfId="0" applyFont="1" applyFill="1" applyBorder="1" applyAlignment="1">
      <alignment horizontal="center"/>
    </xf>
    <xf numFmtId="4" fontId="6" fillId="7" borderId="13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20" fillId="8" borderId="0" xfId="0" applyFont="1" applyFill="1" applyAlignment="1">
      <alignment vertical="center"/>
    </xf>
    <xf numFmtId="0" fontId="21" fillId="3" borderId="1" xfId="0" applyFont="1" applyFill="1" applyBorder="1" applyAlignment="1">
      <alignment vertical="center"/>
    </xf>
    <xf numFmtId="0" fontId="18" fillId="0" borderId="0" xfId="0" applyFont="1"/>
    <xf numFmtId="0" fontId="20" fillId="9" borderId="0" xfId="0" applyFont="1" applyFill="1" applyAlignment="1">
      <alignment vertical="center"/>
    </xf>
    <xf numFmtId="0" fontId="20" fillId="10" borderId="0" xfId="0" applyFont="1" applyFill="1" applyAlignment="1">
      <alignment vertical="center"/>
    </xf>
    <xf numFmtId="167" fontId="14" fillId="0" borderId="0" xfId="0" applyNumberFormat="1" applyFont="1" applyAlignment="1">
      <alignment horizontal="left"/>
    </xf>
    <xf numFmtId="167" fontId="9" fillId="0" borderId="0" xfId="0" applyNumberFormat="1" applyFont="1" applyAlignment="1">
      <alignment horizontal="left"/>
    </xf>
    <xf numFmtId="165" fontId="14" fillId="0" borderId="0" xfId="0" applyNumberFormat="1" applyFont="1" applyAlignment="1">
      <alignment horizontal="left"/>
    </xf>
    <xf numFmtId="165" fontId="9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17" fillId="0" borderId="0" xfId="0" applyFont="1"/>
    <xf numFmtId="167" fontId="17" fillId="0" borderId="0" xfId="0" applyNumberFormat="1" applyFont="1" applyAlignment="1">
      <alignment horizontal="left"/>
    </xf>
    <xf numFmtId="0" fontId="20" fillId="0" borderId="0" xfId="0" applyFont="1" applyAlignment="1">
      <alignment vertical="center"/>
    </xf>
    <xf numFmtId="0" fontId="17" fillId="0" borderId="13" xfId="0" applyFont="1" applyBorder="1"/>
    <xf numFmtId="167" fontId="17" fillId="0" borderId="13" xfId="0" applyNumberFormat="1" applyFont="1" applyBorder="1" applyAlignment="1">
      <alignment horizontal="left"/>
    </xf>
    <xf numFmtId="0" fontId="9" fillId="0" borderId="13" xfId="0" applyFont="1" applyBorder="1"/>
    <xf numFmtId="167" fontId="9" fillId="0" borderId="13" xfId="0" applyNumberFormat="1" applyFont="1" applyBorder="1" applyAlignment="1">
      <alignment horizontal="left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4" xfId="2" applyFont="1" applyFill="1" applyBorder="1" applyAlignment="1">
      <alignment horizontal="center" vertical="center"/>
    </xf>
    <xf numFmtId="0" fontId="14" fillId="0" borderId="3" xfId="2" applyFont="1" applyBorder="1">
      <alignment vertical="center"/>
    </xf>
    <xf numFmtId="0" fontId="14" fillId="0" borderId="3" xfId="2" applyFont="1" applyBorder="1" applyAlignment="1">
      <alignment horizontal="left" vertical="center"/>
    </xf>
    <xf numFmtId="0" fontId="9" fillId="3" borderId="26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1" xfId="2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>
      <alignment vertical="center"/>
    </xf>
    <xf numFmtId="9" fontId="14" fillId="0" borderId="1" xfId="3" applyFont="1" applyBorder="1" applyAlignment="1">
      <alignment horizontal="left" vertical="center"/>
    </xf>
    <xf numFmtId="165" fontId="14" fillId="0" borderId="3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3" fontId="14" fillId="0" borderId="3" xfId="2" applyNumberFormat="1" applyFont="1" applyBorder="1" applyAlignment="1">
      <alignment horizontal="center" vertical="center"/>
    </xf>
    <xf numFmtId="9" fontId="14" fillId="0" borderId="0" xfId="3" applyFont="1" applyBorder="1" applyAlignment="1">
      <alignment horizontal="center" vertical="center"/>
    </xf>
    <xf numFmtId="165" fontId="14" fillId="4" borderId="3" xfId="2" applyNumberFormat="1" applyFont="1" applyFill="1" applyBorder="1" applyAlignment="1">
      <alignment horizontal="left" vertical="center"/>
    </xf>
    <xf numFmtId="0" fontId="14" fillId="0" borderId="1" xfId="2" applyFont="1" applyBorder="1" applyAlignment="1">
      <alignment horizontal="left" vertical="center"/>
    </xf>
    <xf numFmtId="165" fontId="14" fillId="0" borderId="1" xfId="2" applyNumberFormat="1" applyFont="1" applyBorder="1" applyAlignment="1">
      <alignment horizontal="left" vertical="center"/>
    </xf>
    <xf numFmtId="1" fontId="14" fillId="0" borderId="0" xfId="2" applyNumberFormat="1" applyFont="1" applyAlignment="1">
      <alignment horizontal="center" vertical="center"/>
    </xf>
    <xf numFmtId="9" fontId="14" fillId="0" borderId="0" xfId="3" applyFont="1">
      <alignment vertical="center"/>
    </xf>
    <xf numFmtId="0" fontId="9" fillId="0" borderId="0" xfId="2" applyFont="1">
      <alignment vertical="center"/>
    </xf>
    <xf numFmtId="0" fontId="9" fillId="3" borderId="4" xfId="2" applyFont="1" applyFill="1" applyBorder="1">
      <alignment vertical="center"/>
    </xf>
    <xf numFmtId="3" fontId="14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9" fillId="12" borderId="1" xfId="0" applyFont="1" applyFill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10" fillId="0" borderId="25" xfId="0" applyFont="1" applyBorder="1" applyAlignment="1">
      <alignment vertical="center" wrapText="1"/>
    </xf>
    <xf numFmtId="9" fontId="9" fillId="0" borderId="13" xfId="1" applyFont="1" applyBorder="1" applyAlignment="1">
      <alignment horizontal="center"/>
    </xf>
    <xf numFmtId="2" fontId="6" fillId="0" borderId="0" xfId="0" applyNumberFormat="1" applyFont="1"/>
    <xf numFmtId="0" fontId="10" fillId="0" borderId="0" xfId="0" applyFont="1" applyAlignment="1">
      <alignment horizontal="left"/>
    </xf>
    <xf numFmtId="4" fontId="10" fillId="0" borderId="0" xfId="0" applyNumberFormat="1" applyFont="1"/>
    <xf numFmtId="1" fontId="12" fillId="0" borderId="1" xfId="0" applyNumberFormat="1" applyFont="1" applyBorder="1" applyAlignment="1">
      <alignment horizontal="center"/>
    </xf>
    <xf numFmtId="3" fontId="10" fillId="2" borderId="1" xfId="0" applyNumberFormat="1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11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10" fillId="11" borderId="0" xfId="0" applyFont="1" applyFill="1"/>
    <xf numFmtId="3" fontId="6" fillId="0" borderId="1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10" fontId="14" fillId="0" borderId="0" xfId="1" applyNumberFormat="1" applyFont="1" applyAlignment="1">
      <alignment horizontal="center"/>
    </xf>
    <xf numFmtId="0" fontId="18" fillId="0" borderId="17" xfId="0" applyFont="1" applyBorder="1" applyAlignment="1">
      <alignment horizontal="left"/>
    </xf>
    <xf numFmtId="3" fontId="9" fillId="2" borderId="2" xfId="0" applyNumberFormat="1" applyFont="1" applyFill="1" applyBorder="1" applyAlignment="1">
      <alignment horizontal="center"/>
    </xf>
    <xf numFmtId="0" fontId="9" fillId="12" borderId="29" xfId="0" applyFont="1" applyFill="1" applyBorder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0" fontId="9" fillId="12" borderId="27" xfId="0" applyFont="1" applyFill="1" applyBorder="1" applyAlignment="1">
      <alignment horizontal="center"/>
    </xf>
    <xf numFmtId="0" fontId="16" fillId="0" borderId="14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164" fontId="26" fillId="0" borderId="28" xfId="0" applyNumberFormat="1" applyFont="1" applyBorder="1" applyAlignment="1">
      <alignment horizontal="center"/>
    </xf>
    <xf numFmtId="164" fontId="26" fillId="0" borderId="22" xfId="0" applyNumberFormat="1" applyFont="1" applyBorder="1" applyAlignment="1">
      <alignment horizontal="center"/>
    </xf>
    <xf numFmtId="3" fontId="26" fillId="0" borderId="0" xfId="0" applyNumberFormat="1" applyFont="1" applyAlignment="1">
      <alignment horizontal="center"/>
    </xf>
    <xf numFmtId="3" fontId="26" fillId="0" borderId="16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0" borderId="23" xfId="0" applyNumberFormat="1" applyFont="1" applyBorder="1" applyAlignment="1">
      <alignment horizontal="center"/>
    </xf>
    <xf numFmtId="0" fontId="26" fillId="0" borderId="21" xfId="0" applyFont="1" applyBorder="1" applyAlignment="1">
      <alignment horizontal="left"/>
    </xf>
    <xf numFmtId="0" fontId="26" fillId="0" borderId="14" xfId="0" applyFont="1" applyBorder="1" applyAlignment="1">
      <alignment horizontal="left"/>
    </xf>
    <xf numFmtId="0" fontId="26" fillId="0" borderId="17" xfId="0" applyFont="1" applyBorder="1" applyAlignment="1">
      <alignment horizontal="left"/>
    </xf>
    <xf numFmtId="3" fontId="26" fillId="0" borderId="2" xfId="0" applyNumberFormat="1" applyFont="1" applyBorder="1" applyAlignment="1">
      <alignment horizontal="center"/>
    </xf>
    <xf numFmtId="3" fontId="26" fillId="0" borderId="23" xfId="0" applyNumberFormat="1" applyFont="1" applyBorder="1" applyAlignment="1">
      <alignment horizontal="center"/>
    </xf>
    <xf numFmtId="1" fontId="9" fillId="0" borderId="25" xfId="0" applyNumberFormat="1" applyFont="1" applyBorder="1" applyAlignment="1">
      <alignment horizontal="center"/>
    </xf>
    <xf numFmtId="1" fontId="14" fillId="0" borderId="28" xfId="0" applyNumberFormat="1" applyFont="1" applyBorder="1" applyAlignment="1">
      <alignment horizontal="center"/>
    </xf>
    <xf numFmtId="1" fontId="14" fillId="0" borderId="25" xfId="0" applyNumberFormat="1" applyFont="1" applyBorder="1" applyAlignment="1">
      <alignment horizontal="center"/>
    </xf>
    <xf numFmtId="1" fontId="9" fillId="0" borderId="22" xfId="0" applyNumberFormat="1" applyFont="1" applyBorder="1" applyAlignment="1">
      <alignment horizontal="center"/>
    </xf>
    <xf numFmtId="164" fontId="14" fillId="0" borderId="25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4" fontId="14" fillId="0" borderId="15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15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9" fillId="0" borderId="2" xfId="0" applyNumberFormat="1" applyFont="1" applyBorder="1" applyAlignment="1">
      <alignment horizontal="center"/>
    </xf>
    <xf numFmtId="3" fontId="9" fillId="0" borderId="15" xfId="0" applyNumberFormat="1" applyFont="1" applyBorder="1" applyAlignment="1">
      <alignment horizontal="left"/>
    </xf>
    <xf numFmtId="3" fontId="9" fillId="0" borderId="25" xfId="0" applyNumberFormat="1" applyFont="1" applyBorder="1" applyAlignment="1">
      <alignment horizontal="left"/>
    </xf>
    <xf numFmtId="4" fontId="9" fillId="2" borderId="3" xfId="0" applyNumberFormat="1" applyFont="1" applyFill="1" applyBorder="1" applyAlignment="1">
      <alignment horizontal="left"/>
    </xf>
    <xf numFmtId="3" fontId="9" fillId="2" borderId="3" xfId="0" applyNumberFormat="1" applyFont="1" applyFill="1" applyBorder="1" applyAlignment="1">
      <alignment horizontal="left"/>
    </xf>
    <xf numFmtId="0" fontId="9" fillId="3" borderId="31" xfId="2" applyFont="1" applyFill="1" applyBorder="1">
      <alignment vertical="center"/>
    </xf>
    <xf numFmtId="0" fontId="14" fillId="14" borderId="3" xfId="0" applyFont="1" applyFill="1" applyBorder="1" applyAlignment="1">
      <alignment horizontal="center"/>
    </xf>
    <xf numFmtId="0" fontId="14" fillId="2" borderId="1" xfId="2" applyFont="1" applyFill="1" applyBorder="1" applyAlignment="1">
      <alignment horizontal="center" vertical="center"/>
    </xf>
    <xf numFmtId="0" fontId="14" fillId="15" borderId="1" xfId="2" applyFont="1" applyFill="1" applyBorder="1" applyAlignment="1">
      <alignment horizontal="center" vertical="center"/>
    </xf>
    <xf numFmtId="0" fontId="27" fillId="0" borderId="0" xfId="2" applyFont="1">
      <alignment vertical="center"/>
    </xf>
    <xf numFmtId="167" fontId="18" fillId="0" borderId="0" xfId="0" applyNumberFormat="1" applyFont="1" applyAlignment="1">
      <alignment horizontal="left"/>
    </xf>
    <xf numFmtId="166" fontId="18" fillId="0" borderId="0" xfId="0" applyNumberFormat="1" applyFont="1" applyAlignment="1">
      <alignment horizontal="left"/>
    </xf>
    <xf numFmtId="3" fontId="18" fillId="2" borderId="2" xfId="0" applyNumberFormat="1" applyFont="1" applyFill="1" applyBorder="1" applyAlignment="1">
      <alignment horizontal="center"/>
    </xf>
    <xf numFmtId="4" fontId="14" fillId="0" borderId="25" xfId="0" applyNumberFormat="1" applyFont="1" applyBorder="1" applyAlignment="1">
      <alignment horizontal="left"/>
    </xf>
    <xf numFmtId="4" fontId="14" fillId="0" borderId="15" xfId="0" applyNumberFormat="1" applyFont="1" applyBorder="1" applyAlignment="1">
      <alignment horizontal="left"/>
    </xf>
    <xf numFmtId="4" fontId="14" fillId="0" borderId="3" xfId="0" applyNumberFormat="1" applyFont="1" applyBorder="1" applyAlignment="1">
      <alignment horizontal="left"/>
    </xf>
    <xf numFmtId="168" fontId="24" fillId="2" borderId="1" xfId="6" applyNumberFormat="1" applyFont="1" applyFill="1" applyBorder="1" applyAlignment="1">
      <alignment horizontal="left" vertical="center"/>
    </xf>
    <xf numFmtId="3" fontId="10" fillId="0" borderId="0" xfId="0" applyNumberFormat="1" applyFont="1" applyAlignment="1">
      <alignment horizontal="left"/>
    </xf>
    <xf numFmtId="4" fontId="21" fillId="4" borderId="13" xfId="0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0" fontId="21" fillId="16" borderId="13" xfId="0" applyFont="1" applyFill="1" applyBorder="1" applyAlignment="1">
      <alignment vertical="center"/>
    </xf>
    <xf numFmtId="4" fontId="21" fillId="16" borderId="13" xfId="0" applyNumberFormat="1" applyFont="1" applyFill="1" applyBorder="1" applyAlignment="1">
      <alignment horizontal="center" vertical="center"/>
    </xf>
    <xf numFmtId="4" fontId="21" fillId="16" borderId="13" xfId="0" applyNumberFormat="1" applyFont="1" applyFill="1" applyBorder="1" applyAlignment="1">
      <alignment horizontal="left" vertical="center"/>
    </xf>
    <xf numFmtId="0" fontId="10" fillId="16" borderId="13" xfId="0" applyFont="1" applyFill="1" applyBorder="1" applyAlignment="1">
      <alignment horizontal="center" vertical="center"/>
    </xf>
    <xf numFmtId="0" fontId="10" fillId="16" borderId="13" xfId="0" applyFont="1" applyFill="1" applyBorder="1" applyAlignment="1">
      <alignment vertical="center"/>
    </xf>
    <xf numFmtId="0" fontId="10" fillId="16" borderId="13" xfId="0" applyFont="1" applyFill="1" applyBorder="1" applyAlignment="1">
      <alignment horizontal="left" vertical="center"/>
    </xf>
    <xf numFmtId="0" fontId="10" fillId="0" borderId="16" xfId="0" applyFont="1" applyBorder="1"/>
    <xf numFmtId="0" fontId="10" fillId="16" borderId="32" xfId="0" applyFont="1" applyFill="1" applyBorder="1" applyAlignment="1">
      <alignment vertical="center"/>
    </xf>
    <xf numFmtId="0" fontId="10" fillId="0" borderId="14" xfId="0" applyFont="1" applyBorder="1"/>
    <xf numFmtId="0" fontId="0" fillId="0" borderId="14" xfId="0" applyBorder="1"/>
    <xf numFmtId="4" fontId="10" fillId="0" borderId="14" xfId="0" applyNumberFormat="1" applyFont="1" applyBorder="1"/>
    <xf numFmtId="2" fontId="6" fillId="0" borderId="14" xfId="0" applyNumberFormat="1" applyFont="1" applyBorder="1"/>
    <xf numFmtId="0" fontId="10" fillId="0" borderId="17" xfId="0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9" fillId="3" borderId="8" xfId="2" applyFont="1" applyFill="1" applyBorder="1" applyAlignment="1">
      <alignment horizontal="center" vertical="center"/>
    </xf>
    <xf numFmtId="0" fontId="9" fillId="3" borderId="5" xfId="2" applyFont="1" applyFill="1" applyBorder="1" applyAlignment="1">
      <alignment horizontal="center" vertical="center"/>
    </xf>
    <xf numFmtId="0" fontId="9" fillId="3" borderId="6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center" wrapText="1"/>
    </xf>
    <xf numFmtId="0" fontId="9" fillId="3" borderId="20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24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0" fontId="9" fillId="3" borderId="10" xfId="2" applyFont="1" applyFill="1" applyBorder="1" applyAlignment="1">
      <alignment horizontal="center" vertical="center" wrapText="1"/>
    </xf>
    <xf numFmtId="0" fontId="15" fillId="6" borderId="0" xfId="2" applyFont="1" applyFill="1" applyAlignment="1">
      <alignment horizontal="center"/>
    </xf>
    <xf numFmtId="0" fontId="23" fillId="0" borderId="0" xfId="0" applyFont="1" applyAlignment="1">
      <alignment horizontal="center"/>
    </xf>
    <xf numFmtId="10" fontId="11" fillId="12" borderId="1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2" borderId="30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2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28" xfId="0" applyFont="1" applyBorder="1"/>
    <xf numFmtId="0" fontId="10" fillId="0" borderId="28" xfId="0" applyFont="1" applyBorder="1" applyAlignment="1">
      <alignment horizontal="center"/>
    </xf>
    <xf numFmtId="4" fontId="10" fillId="0" borderId="28" xfId="0" applyNumberFormat="1" applyFont="1" applyBorder="1" applyAlignment="1">
      <alignment horizontal="center"/>
    </xf>
    <xf numFmtId="3" fontId="10" fillId="0" borderId="28" xfId="0" applyNumberFormat="1" applyFont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17" borderId="0" xfId="0" applyFont="1" applyFill="1" applyAlignment="1">
      <alignment horizontal="center"/>
    </xf>
  </cellXfs>
  <cellStyles count="7">
    <cellStyle name="Comma 3" xfId="6" xr:uid="{0CCAD724-3CAC-4591-8E5D-2669E302B80E}"/>
    <cellStyle name="Normal" xfId="0" builtinId="0"/>
    <cellStyle name="Normal 2" xfId="2" xr:uid="{80B306F6-3A71-4660-8E4E-3776E4C64991}"/>
    <cellStyle name="Normal 2 2" xfId="4" xr:uid="{EF43E4C2-CEDA-46E9-9A3B-125988040714}"/>
    <cellStyle name="Normal 4" xfId="5" xr:uid="{F35E11B4-A08B-450D-9493-24C8A19D6D02}"/>
    <cellStyle name="Percent" xfId="1" builtinId="5"/>
    <cellStyle name="Percent 2" xfId="3" xr:uid="{E33DBF29-293B-4C03-9E74-2A803D89A9A6}"/>
  </cellStyles>
  <dxfs count="21"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ont>
        <color rgb="FFFF0000"/>
      </font>
      <fill>
        <patternFill>
          <bgColor rgb="FFFFAFAF"/>
        </patternFill>
      </fill>
    </dxf>
    <dxf>
      <font>
        <color theme="1"/>
      </font>
      <fill>
        <patternFill>
          <bgColor rgb="FF00B050"/>
        </patternFill>
      </fill>
    </dxf>
    <dxf>
      <fill>
        <patternFill>
          <bgColor rgb="FFFFAFAF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8CBAD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6969"/>
      <color rgb="FFF8CBAD"/>
      <color rgb="FF59D559"/>
      <color rgb="FFFFAFAF"/>
      <color rgb="FF00B050"/>
      <color rgb="FF00D25F"/>
      <color rgb="FF00DA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/BDP/201412%20individual%20account/Consolidation%20FS%20for%20BDP%20Group_December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 BS"/>
      <sheetName val="Consol PL"/>
      <sheetName val="Cashflow"/>
      <sheetName val="Consol BS by companies"/>
      <sheetName val="Monthly BS"/>
      <sheetName val="Total BS"/>
      <sheetName val="Consol YTD PL by companies"/>
      <sheetName val="Consol PL by companies"/>
      <sheetName val="Total PL"/>
      <sheetName val="Consol PL by Month"/>
      <sheetName val="PL for period"/>
      <sheetName val="Extraordinary income"/>
      <sheetName val="Extraordinary expenses"/>
      <sheetName val="Consol Adjustment1"/>
      <sheetName val="Consol Adjustment"/>
      <sheetName val="Transaction reserves"/>
      <sheetName val="Land expenses"/>
      <sheetName val="Farms GPE Adj."/>
      <sheetName val="Salary for Wei"/>
      <sheetName val="Note 1"/>
      <sheetName val="Note 1 Details"/>
      <sheetName val="Note 2"/>
      <sheetName val="Note 2 Details"/>
      <sheetName val="Note 3"/>
      <sheetName val="Note 3 details"/>
      <sheetName val="Note 4"/>
      <sheetName val="Note 4 details"/>
      <sheetName val="Note 5"/>
      <sheetName val="Note 5 details"/>
      <sheetName val="Note 5A"/>
      <sheetName val="Note 5A Details"/>
      <sheetName val="Note 6"/>
      <sheetName val="Note 6 Details in USD"/>
      <sheetName val="Note 6 Details in standard curr"/>
      <sheetName val="Note 6 Land&amp;BldgRevalue"/>
      <sheetName val="Note 6 Land value adj"/>
      <sheetName val="Note 7"/>
      <sheetName val="Note 7 Details"/>
      <sheetName val="Note 7A"/>
      <sheetName val="Note7A Details"/>
      <sheetName val="Note 8"/>
      <sheetName val="Note 8 Details"/>
      <sheetName val="Note 9"/>
      <sheetName val="Note 9 Details"/>
      <sheetName val="Note 10"/>
      <sheetName val="Note 10A Share reconcile"/>
      <sheetName val="Sheet1"/>
      <sheetName val="Note 10A Details"/>
      <sheetName val="Note 11"/>
      <sheetName val="Note 12"/>
      <sheetName val="Note 13"/>
      <sheetName val="Note 14"/>
      <sheetName val="Note 15"/>
      <sheetName val="Note 16"/>
      <sheetName val="Note 17"/>
      <sheetName val="Note 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B2">
            <v>6.1189999999999998</v>
          </cell>
          <cell r="D2">
            <v>7.7564000000000002</v>
          </cell>
          <cell r="F2">
            <v>21.3154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909DA-8ED4-4CB1-BCC5-14F82D3A29F1}">
  <sheetPr>
    <tabColor rgb="FF2FBB2F"/>
  </sheetPr>
  <dimension ref="B3:Y42"/>
  <sheetViews>
    <sheetView showGridLines="0" topLeftCell="N12" zoomScale="85" zoomScaleNormal="85" workbookViewId="0">
      <selection activeCell="X39" sqref="X39"/>
    </sheetView>
  </sheetViews>
  <sheetFormatPr defaultColWidth="9.140625" defaultRowHeight="15"/>
  <cols>
    <col min="1" max="1" width="2.42578125" style="47" customWidth="1"/>
    <col min="2" max="2" width="44.28515625" style="47" customWidth="1"/>
    <col min="3" max="3" width="14.28515625" style="55" bestFit="1" customWidth="1"/>
    <col min="4" max="4" width="7" style="47" customWidth="1"/>
    <col min="5" max="5" width="34.140625" style="47" customWidth="1"/>
    <col min="6" max="6" width="60.85546875" style="47" customWidth="1"/>
    <col min="7" max="7" width="9" style="55" customWidth="1"/>
    <col min="8" max="8" width="22.42578125" style="55" customWidth="1"/>
    <col min="9" max="9" width="7" style="47" customWidth="1"/>
    <col min="10" max="10" width="20.42578125" style="47" customWidth="1"/>
    <col min="11" max="11" width="8.5703125" style="47" customWidth="1"/>
    <col min="12" max="12" width="18.5703125" style="47" customWidth="1"/>
    <col min="13" max="13" width="58" style="47" customWidth="1"/>
    <col min="14" max="14" width="10.42578125" style="47" customWidth="1"/>
    <col min="15" max="15" width="27.140625" style="47" customWidth="1"/>
    <col min="16" max="16" width="14.42578125" style="47" customWidth="1"/>
    <col min="17" max="17" width="7" style="47" customWidth="1"/>
    <col min="18" max="18" width="20.85546875" style="47" customWidth="1"/>
    <col min="19" max="19" width="13.5703125" style="47" customWidth="1"/>
    <col min="20" max="20" width="11.5703125" style="47" customWidth="1"/>
    <col min="21" max="21" width="16.5703125" style="47" customWidth="1"/>
    <col min="22" max="22" width="14.140625" style="47" customWidth="1"/>
    <col min="23" max="23" width="9.140625" style="47"/>
    <col min="24" max="24" width="16.28515625" style="47" customWidth="1"/>
    <col min="25" max="25" width="14.5703125" style="47" customWidth="1"/>
    <col min="26" max="16384" width="9.140625" style="47"/>
  </cols>
  <sheetData>
    <row r="3" spans="2:25" ht="15.75">
      <c r="B3" s="200" t="s">
        <v>38</v>
      </c>
      <c r="C3" s="200"/>
      <c r="E3" s="200" t="s">
        <v>59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R3" s="200" t="s">
        <v>39</v>
      </c>
      <c r="S3" s="200"/>
      <c r="T3" s="200"/>
      <c r="U3" s="200"/>
      <c r="V3" s="200"/>
      <c r="W3" s="200"/>
      <c r="X3" s="200"/>
      <c r="Y3" s="200"/>
    </row>
    <row r="4" spans="2:25" ht="16.5" thickBot="1">
      <c r="B4" s="100"/>
      <c r="E4" s="100"/>
      <c r="F4" s="100"/>
      <c r="G4" s="79"/>
    </row>
    <row r="5" spans="2:25" ht="16.5" thickBot="1">
      <c r="B5" s="101" t="s">
        <v>40</v>
      </c>
      <c r="C5" s="81" t="s">
        <v>41</v>
      </c>
      <c r="E5" s="155" t="s">
        <v>141</v>
      </c>
      <c r="F5" s="101" t="s">
        <v>139</v>
      </c>
      <c r="P5" s="79"/>
      <c r="Q5" s="80"/>
    </row>
    <row r="6" spans="2:25">
      <c r="B6" s="83" t="s">
        <v>42</v>
      </c>
      <c r="C6" s="84">
        <v>5</v>
      </c>
      <c r="E6" s="37" t="s">
        <v>127</v>
      </c>
      <c r="F6" s="156">
        <v>90</v>
      </c>
      <c r="P6" s="55"/>
    </row>
    <row r="7" spans="2:25">
      <c r="B7" s="89" t="s">
        <v>52</v>
      </c>
      <c r="C7" s="90">
        <v>0.2</v>
      </c>
      <c r="E7" s="89" t="s">
        <v>140</v>
      </c>
      <c r="F7" s="157">
        <v>110</v>
      </c>
      <c r="P7" s="94"/>
    </row>
    <row r="8" spans="2:25">
      <c r="B8" s="89" t="s">
        <v>45</v>
      </c>
      <c r="C8" s="96">
        <v>5</v>
      </c>
      <c r="E8" s="89" t="s">
        <v>138</v>
      </c>
      <c r="F8" s="158">
        <v>120</v>
      </c>
      <c r="P8" s="94"/>
    </row>
    <row r="9" spans="2:25">
      <c r="B9" s="89" t="s">
        <v>46</v>
      </c>
      <c r="C9" s="97">
        <v>1000000</v>
      </c>
      <c r="T9" s="98"/>
    </row>
    <row r="10" spans="2:25">
      <c r="B10" s="89" t="s">
        <v>47</v>
      </c>
      <c r="C10" s="90">
        <v>0.25</v>
      </c>
    </row>
    <row r="11" spans="2:25">
      <c r="B11" s="89" t="s">
        <v>48</v>
      </c>
      <c r="C11" s="90">
        <v>0.4</v>
      </c>
    </row>
    <row r="12" spans="2:25" ht="18">
      <c r="B12" s="89" t="s">
        <v>49</v>
      </c>
      <c r="C12" s="97">
        <v>15</v>
      </c>
      <c r="E12" s="159" t="s">
        <v>142</v>
      </c>
      <c r="R12" s="159" t="s">
        <v>142</v>
      </c>
      <c r="T12" s="99"/>
    </row>
    <row r="13" spans="2:25" ht="15.75" thickBot="1"/>
    <row r="14" spans="2:25" ht="16.5" thickBot="1">
      <c r="E14" s="196" t="s">
        <v>56</v>
      </c>
      <c r="F14" s="192" t="s">
        <v>60</v>
      </c>
      <c r="G14" s="194" t="s">
        <v>13</v>
      </c>
      <c r="H14" s="198" t="s">
        <v>61</v>
      </c>
      <c r="J14" s="190" t="s">
        <v>56</v>
      </c>
      <c r="K14" s="196" t="s">
        <v>63</v>
      </c>
      <c r="L14" s="190" t="s">
        <v>64</v>
      </c>
      <c r="M14" s="192" t="s">
        <v>60</v>
      </c>
      <c r="N14" s="194" t="s">
        <v>13</v>
      </c>
      <c r="O14" s="188" t="s">
        <v>62</v>
      </c>
      <c r="R14" s="188" t="s">
        <v>56</v>
      </c>
      <c r="S14" s="186" t="s">
        <v>111</v>
      </c>
      <c r="T14" s="187"/>
      <c r="U14" s="186" t="s">
        <v>65</v>
      </c>
      <c r="V14" s="187"/>
      <c r="X14" s="82" t="s">
        <v>100</v>
      </c>
      <c r="Y14" s="82" t="s">
        <v>101</v>
      </c>
    </row>
    <row r="15" spans="2:25" ht="16.5" thickBot="1">
      <c r="E15" s="197"/>
      <c r="F15" s="193"/>
      <c r="G15" s="195"/>
      <c r="H15" s="199"/>
      <c r="J15" s="191"/>
      <c r="K15" s="197"/>
      <c r="L15" s="191"/>
      <c r="M15" s="193"/>
      <c r="N15" s="195"/>
      <c r="O15" s="189"/>
      <c r="R15" s="189"/>
      <c r="S15" s="85" t="s">
        <v>13</v>
      </c>
      <c r="T15" s="86" t="s">
        <v>44</v>
      </c>
      <c r="U15" s="87" t="s">
        <v>13</v>
      </c>
      <c r="V15" s="86" t="s">
        <v>44</v>
      </c>
      <c r="X15" s="83" t="s">
        <v>36</v>
      </c>
      <c r="Y15" s="88">
        <v>30</v>
      </c>
    </row>
    <row r="16" spans="2:25">
      <c r="E16" s="83" t="s">
        <v>53</v>
      </c>
      <c r="F16" s="83" t="s">
        <v>55</v>
      </c>
      <c r="G16" s="88" t="s">
        <v>14</v>
      </c>
      <c r="H16" s="91">
        <v>45</v>
      </c>
      <c r="J16" s="89" t="s">
        <v>53</v>
      </c>
      <c r="K16" s="92">
        <v>1</v>
      </c>
      <c r="L16" s="102">
        <f>$V$16</f>
        <v>100</v>
      </c>
      <c r="M16" s="89" t="s">
        <v>58</v>
      </c>
      <c r="N16" s="92" t="s">
        <v>14</v>
      </c>
      <c r="O16" s="93">
        <f>H18*L16</f>
        <v>4680</v>
      </c>
      <c r="R16" s="83" t="s">
        <v>53</v>
      </c>
      <c r="S16" s="88" t="s">
        <v>14</v>
      </c>
      <c r="T16" s="95">
        <f>V16*H18</f>
        <v>4680</v>
      </c>
      <c r="U16" s="88" t="s">
        <v>66</v>
      </c>
      <c r="V16" s="95">
        <v>100</v>
      </c>
      <c r="X16" s="89" t="s">
        <v>37</v>
      </c>
      <c r="Y16" s="92">
        <v>26</v>
      </c>
    </row>
    <row r="17" spans="5:25" ht="15.75">
      <c r="E17" s="83" t="s">
        <v>53</v>
      </c>
      <c r="F17" s="83" t="s">
        <v>57</v>
      </c>
      <c r="G17" s="92" t="s">
        <v>14</v>
      </c>
      <c r="H17" s="92">
        <v>90</v>
      </c>
      <c r="J17" s="89" t="s">
        <v>53</v>
      </c>
      <c r="K17" s="92">
        <v>1</v>
      </c>
      <c r="L17" s="102">
        <f>$V$16</f>
        <v>100</v>
      </c>
      <c r="M17" s="89" t="s">
        <v>109</v>
      </c>
      <c r="N17" s="92" t="s">
        <v>14</v>
      </c>
      <c r="O17" s="93">
        <f>H19*L17</f>
        <v>3276</v>
      </c>
    </row>
    <row r="18" spans="5:25" ht="15.75">
      <c r="E18" s="83" t="s">
        <v>53</v>
      </c>
      <c r="F18" s="89" t="s">
        <v>58</v>
      </c>
      <c r="G18" s="92" t="s">
        <v>14</v>
      </c>
      <c r="H18" s="92">
        <f>H17*0.52</f>
        <v>46.800000000000004</v>
      </c>
      <c r="J18" s="89" t="s">
        <v>53</v>
      </c>
      <c r="K18" s="92">
        <v>1</v>
      </c>
      <c r="L18" s="102">
        <f>$V$16</f>
        <v>100</v>
      </c>
      <c r="M18" s="89" t="s">
        <v>110</v>
      </c>
      <c r="N18" s="92" t="s">
        <v>14</v>
      </c>
      <c r="O18" s="93">
        <f>H20*L18</f>
        <v>1404</v>
      </c>
    </row>
    <row r="19" spans="5:25" ht="15.75">
      <c r="E19" s="89" t="s">
        <v>53</v>
      </c>
      <c r="F19" s="89" t="s">
        <v>126</v>
      </c>
      <c r="G19" s="92" t="s">
        <v>14</v>
      </c>
      <c r="H19" s="92">
        <f>H18*70%</f>
        <v>32.76</v>
      </c>
    </row>
    <row r="20" spans="5:25" ht="15.75">
      <c r="E20" s="89" t="s">
        <v>53</v>
      </c>
      <c r="F20" s="89" t="s">
        <v>110</v>
      </c>
      <c r="G20" s="92" t="s">
        <v>14</v>
      </c>
      <c r="H20" s="92">
        <f>H18*30%</f>
        <v>14.040000000000001</v>
      </c>
    </row>
    <row r="21" spans="5:25">
      <c r="E21"/>
      <c r="F21"/>
      <c r="G21"/>
      <c r="H21"/>
    </row>
    <row r="22" spans="5:25">
      <c r="E22"/>
      <c r="F22"/>
      <c r="G22"/>
      <c r="H22"/>
    </row>
    <row r="23" spans="5:25" ht="18">
      <c r="E23" s="159" t="s">
        <v>143</v>
      </c>
      <c r="R23" s="159" t="s">
        <v>143</v>
      </c>
    </row>
    <row r="24" spans="5:25" ht="15.75" thickBot="1"/>
    <row r="25" spans="5:25" ht="16.5" thickBot="1">
      <c r="E25" s="196" t="s">
        <v>56</v>
      </c>
      <c r="F25" s="192" t="s">
        <v>60</v>
      </c>
      <c r="G25" s="194" t="s">
        <v>13</v>
      </c>
      <c r="H25" s="198" t="s">
        <v>61</v>
      </c>
      <c r="J25" s="190" t="s">
        <v>56</v>
      </c>
      <c r="K25" s="196" t="s">
        <v>63</v>
      </c>
      <c r="L25" s="190" t="s">
        <v>64</v>
      </c>
      <c r="M25" s="192" t="s">
        <v>60</v>
      </c>
      <c r="N25" s="194" t="s">
        <v>13</v>
      </c>
      <c r="O25" s="188" t="s">
        <v>62</v>
      </c>
      <c r="R25" s="188" t="s">
        <v>56</v>
      </c>
      <c r="S25" s="186" t="s">
        <v>111</v>
      </c>
      <c r="T25" s="187"/>
      <c r="U25" s="186" t="s">
        <v>65</v>
      </c>
      <c r="V25" s="187"/>
      <c r="X25" s="82" t="s">
        <v>100</v>
      </c>
      <c r="Y25" s="82" t="s">
        <v>101</v>
      </c>
    </row>
    <row r="26" spans="5:25" ht="16.5" thickBot="1">
      <c r="E26" s="197"/>
      <c r="F26" s="193"/>
      <c r="G26" s="195"/>
      <c r="H26" s="199"/>
      <c r="J26" s="191"/>
      <c r="K26" s="197"/>
      <c r="L26" s="191"/>
      <c r="M26" s="193"/>
      <c r="N26" s="195"/>
      <c r="O26" s="189"/>
      <c r="R26" s="189"/>
      <c r="S26" s="85" t="s">
        <v>13</v>
      </c>
      <c r="T26" s="86" t="s">
        <v>44</v>
      </c>
      <c r="U26" s="87" t="s">
        <v>13</v>
      </c>
      <c r="V26" s="86" t="s">
        <v>44</v>
      </c>
      <c r="X26" s="83" t="s">
        <v>36</v>
      </c>
      <c r="Y26" s="88">
        <v>30</v>
      </c>
    </row>
    <row r="27" spans="5:25">
      <c r="E27" s="83" t="s">
        <v>53</v>
      </c>
      <c r="F27" s="83" t="s">
        <v>55</v>
      </c>
      <c r="G27" s="88" t="s">
        <v>14</v>
      </c>
      <c r="H27" s="91">
        <v>45</v>
      </c>
      <c r="J27" s="89" t="s">
        <v>53</v>
      </c>
      <c r="K27" s="92">
        <v>1</v>
      </c>
      <c r="L27" s="102">
        <f>$V$16</f>
        <v>100</v>
      </c>
      <c r="M27" s="89" t="s">
        <v>58</v>
      </c>
      <c r="N27" s="92" t="s">
        <v>14</v>
      </c>
      <c r="O27" s="93">
        <f>H29*L27</f>
        <v>5720</v>
      </c>
      <c r="R27" s="83" t="s">
        <v>53</v>
      </c>
      <c r="S27" s="88" t="s">
        <v>14</v>
      </c>
      <c r="T27" s="95">
        <f>V27*H29</f>
        <v>5720</v>
      </c>
      <c r="U27" s="88" t="s">
        <v>66</v>
      </c>
      <c r="V27" s="95">
        <v>100</v>
      </c>
      <c r="X27" s="89" t="s">
        <v>37</v>
      </c>
      <c r="Y27" s="92">
        <v>26</v>
      </c>
    </row>
    <row r="28" spans="5:25" ht="15.75">
      <c r="E28" s="83" t="s">
        <v>53</v>
      </c>
      <c r="F28" s="83" t="s">
        <v>57</v>
      </c>
      <c r="G28" s="92" t="s">
        <v>14</v>
      </c>
      <c r="H28" s="92">
        <v>110</v>
      </c>
      <c r="J28" s="89" t="s">
        <v>53</v>
      </c>
      <c r="K28" s="92">
        <v>1</v>
      </c>
      <c r="L28" s="102">
        <f>$V$16</f>
        <v>100</v>
      </c>
      <c r="M28" s="89" t="s">
        <v>109</v>
      </c>
      <c r="N28" s="92" t="s">
        <v>14</v>
      </c>
      <c r="O28" s="93">
        <f>H30*L28</f>
        <v>4004</v>
      </c>
    </row>
    <row r="29" spans="5:25" ht="15.75">
      <c r="E29" s="83" t="s">
        <v>53</v>
      </c>
      <c r="F29" s="89" t="s">
        <v>58</v>
      </c>
      <c r="G29" s="92" t="s">
        <v>14</v>
      </c>
      <c r="H29" s="92">
        <f>H28*0.52</f>
        <v>57.2</v>
      </c>
      <c r="J29" s="89" t="s">
        <v>53</v>
      </c>
      <c r="K29" s="92">
        <v>1</v>
      </c>
      <c r="L29" s="102">
        <f>$V$16</f>
        <v>100</v>
      </c>
      <c r="M29" s="89" t="s">
        <v>110</v>
      </c>
      <c r="N29" s="92" t="s">
        <v>14</v>
      </c>
      <c r="O29" s="93">
        <f>H31*L29</f>
        <v>1716</v>
      </c>
    </row>
    <row r="30" spans="5:25" ht="15.75">
      <c r="E30" s="89" t="s">
        <v>53</v>
      </c>
      <c r="F30" s="89" t="s">
        <v>126</v>
      </c>
      <c r="G30" s="92" t="s">
        <v>14</v>
      </c>
      <c r="H30" s="92">
        <f>H29*70%</f>
        <v>40.04</v>
      </c>
    </row>
    <row r="31" spans="5:25" ht="15.75">
      <c r="E31" s="89" t="s">
        <v>53</v>
      </c>
      <c r="F31" s="89" t="s">
        <v>110</v>
      </c>
      <c r="G31" s="92" t="s">
        <v>14</v>
      </c>
      <c r="H31" s="92">
        <f>H29*30%</f>
        <v>17.16</v>
      </c>
    </row>
    <row r="34" spans="5:25" ht="18">
      <c r="E34" s="159" t="s">
        <v>144</v>
      </c>
      <c r="R34" s="159" t="s">
        <v>144</v>
      </c>
    </row>
    <row r="35" spans="5:25" ht="15.75" thickBot="1"/>
    <row r="36" spans="5:25" ht="16.5" thickBot="1">
      <c r="E36" s="196" t="s">
        <v>56</v>
      </c>
      <c r="F36" s="192" t="s">
        <v>60</v>
      </c>
      <c r="G36" s="194" t="s">
        <v>13</v>
      </c>
      <c r="H36" s="198" t="s">
        <v>61</v>
      </c>
      <c r="J36" s="190" t="s">
        <v>56</v>
      </c>
      <c r="K36" s="196" t="s">
        <v>63</v>
      </c>
      <c r="L36" s="190" t="s">
        <v>64</v>
      </c>
      <c r="M36" s="192" t="s">
        <v>60</v>
      </c>
      <c r="N36" s="194" t="s">
        <v>13</v>
      </c>
      <c r="O36" s="188" t="s">
        <v>62</v>
      </c>
      <c r="R36" s="188" t="s">
        <v>56</v>
      </c>
      <c r="S36" s="186" t="s">
        <v>111</v>
      </c>
      <c r="T36" s="187"/>
      <c r="U36" s="186" t="s">
        <v>65</v>
      </c>
      <c r="V36" s="187"/>
      <c r="X36" s="82" t="s">
        <v>100</v>
      </c>
      <c r="Y36" s="82" t="s">
        <v>101</v>
      </c>
    </row>
    <row r="37" spans="5:25" ht="16.5" thickBot="1">
      <c r="E37" s="197"/>
      <c r="F37" s="193"/>
      <c r="G37" s="195"/>
      <c r="H37" s="199"/>
      <c r="J37" s="191"/>
      <c r="K37" s="197"/>
      <c r="L37" s="191"/>
      <c r="M37" s="193"/>
      <c r="N37" s="195"/>
      <c r="O37" s="189"/>
      <c r="R37" s="189"/>
      <c r="S37" s="85" t="s">
        <v>13</v>
      </c>
      <c r="T37" s="86" t="s">
        <v>44</v>
      </c>
      <c r="U37" s="87" t="s">
        <v>13</v>
      </c>
      <c r="V37" s="86" t="s">
        <v>44</v>
      </c>
      <c r="X37" s="83" t="s">
        <v>36</v>
      </c>
      <c r="Y37" s="88">
        <v>30</v>
      </c>
    </row>
    <row r="38" spans="5:25">
      <c r="E38" s="83" t="s">
        <v>53</v>
      </c>
      <c r="F38" s="83" t="s">
        <v>55</v>
      </c>
      <c r="G38" s="88" t="s">
        <v>14</v>
      </c>
      <c r="H38" s="91">
        <v>45</v>
      </c>
      <c r="J38" s="89" t="s">
        <v>53</v>
      </c>
      <c r="K38" s="92">
        <v>1</v>
      </c>
      <c r="L38" s="102">
        <f>$V$16</f>
        <v>100</v>
      </c>
      <c r="M38" s="89" t="s">
        <v>58</v>
      </c>
      <c r="N38" s="92" t="s">
        <v>14</v>
      </c>
      <c r="O38" s="93">
        <f>H40*L38</f>
        <v>6240.0000000000009</v>
      </c>
      <c r="R38" s="83" t="s">
        <v>53</v>
      </c>
      <c r="S38" s="88" t="s">
        <v>14</v>
      </c>
      <c r="T38" s="95">
        <f>V38*H40</f>
        <v>6240.0000000000009</v>
      </c>
      <c r="U38" s="88" t="s">
        <v>66</v>
      </c>
      <c r="V38" s="95">
        <v>100</v>
      </c>
      <c r="X38" s="89" t="s">
        <v>37</v>
      </c>
      <c r="Y38" s="92">
        <v>26</v>
      </c>
    </row>
    <row r="39" spans="5:25" ht="15.75">
      <c r="E39" s="83" t="s">
        <v>53</v>
      </c>
      <c r="F39" s="83" t="s">
        <v>57</v>
      </c>
      <c r="G39" s="92" t="s">
        <v>14</v>
      </c>
      <c r="H39" s="92">
        <v>120</v>
      </c>
      <c r="J39" s="89" t="s">
        <v>53</v>
      </c>
      <c r="K39" s="92">
        <v>1</v>
      </c>
      <c r="L39" s="102">
        <f>$V$16</f>
        <v>100</v>
      </c>
      <c r="M39" s="89" t="s">
        <v>109</v>
      </c>
      <c r="N39" s="92" t="s">
        <v>14</v>
      </c>
      <c r="O39" s="93">
        <f>H41*L39</f>
        <v>4368</v>
      </c>
    </row>
    <row r="40" spans="5:25" ht="15.75">
      <c r="E40" s="83" t="s">
        <v>53</v>
      </c>
      <c r="F40" s="89" t="s">
        <v>58</v>
      </c>
      <c r="G40" s="92" t="s">
        <v>14</v>
      </c>
      <c r="H40" s="92">
        <f>H39*0.52</f>
        <v>62.400000000000006</v>
      </c>
      <c r="J40" s="89" t="s">
        <v>53</v>
      </c>
      <c r="K40" s="92">
        <v>1</v>
      </c>
      <c r="L40" s="102">
        <f>$V$16</f>
        <v>100</v>
      </c>
      <c r="M40" s="89" t="s">
        <v>110</v>
      </c>
      <c r="N40" s="92" t="s">
        <v>14</v>
      </c>
      <c r="O40" s="93">
        <f>H42*L40</f>
        <v>1872.0000000000002</v>
      </c>
    </row>
    <row r="41" spans="5:25" ht="15.75">
      <c r="E41" s="89" t="s">
        <v>53</v>
      </c>
      <c r="F41" s="89" t="s">
        <v>126</v>
      </c>
      <c r="G41" s="92" t="s">
        <v>14</v>
      </c>
      <c r="H41" s="92">
        <f>H40*70%</f>
        <v>43.68</v>
      </c>
    </row>
    <row r="42" spans="5:25" ht="15.75">
      <c r="E42" s="89" t="s">
        <v>53</v>
      </c>
      <c r="F42" s="89" t="s">
        <v>110</v>
      </c>
      <c r="G42" s="92" t="s">
        <v>14</v>
      </c>
      <c r="H42" s="92">
        <f>H40*30%</f>
        <v>18.720000000000002</v>
      </c>
    </row>
  </sheetData>
  <mergeCells count="42">
    <mergeCell ref="K14:K15"/>
    <mergeCell ref="L14:L15"/>
    <mergeCell ref="R3:Y3"/>
    <mergeCell ref="E3:O3"/>
    <mergeCell ref="B3:C3"/>
    <mergeCell ref="R14:R15"/>
    <mergeCell ref="S14:T14"/>
    <mergeCell ref="U14:V14"/>
    <mergeCell ref="M14:M15"/>
    <mergeCell ref="N14:N15"/>
    <mergeCell ref="O14:O15"/>
    <mergeCell ref="E14:E15"/>
    <mergeCell ref="F14:F15"/>
    <mergeCell ref="G14:G15"/>
    <mergeCell ref="H14:H15"/>
    <mergeCell ref="J14:J15"/>
    <mergeCell ref="K36:K37"/>
    <mergeCell ref="E25:E26"/>
    <mergeCell ref="F25:F26"/>
    <mergeCell ref="G25:G26"/>
    <mergeCell ref="H25:H26"/>
    <mergeCell ref="J25:J26"/>
    <mergeCell ref="K25:K26"/>
    <mergeCell ref="E36:E37"/>
    <mergeCell ref="F36:F37"/>
    <mergeCell ref="G36:G37"/>
    <mergeCell ref="H36:H37"/>
    <mergeCell ref="J36:J37"/>
    <mergeCell ref="U25:V25"/>
    <mergeCell ref="R36:R37"/>
    <mergeCell ref="S36:T36"/>
    <mergeCell ref="U36:V36"/>
    <mergeCell ref="L36:L37"/>
    <mergeCell ref="M36:M37"/>
    <mergeCell ref="N36:N37"/>
    <mergeCell ref="O36:O37"/>
    <mergeCell ref="R25:R26"/>
    <mergeCell ref="S25:T25"/>
    <mergeCell ref="L25:L26"/>
    <mergeCell ref="M25:M26"/>
    <mergeCell ref="N25:N26"/>
    <mergeCell ref="O25:O26"/>
  </mergeCells>
  <conditionalFormatting sqref="H17">
    <cfRule type="cellIs" dxfId="20" priority="7" operator="equal">
      <formula>120</formula>
    </cfRule>
    <cfRule type="cellIs" dxfId="19" priority="8" operator="equal">
      <formula>110</formula>
    </cfRule>
    <cfRule type="cellIs" dxfId="18" priority="9" operator="equal">
      <formula>90</formula>
    </cfRule>
  </conditionalFormatting>
  <conditionalFormatting sqref="H28">
    <cfRule type="cellIs" dxfId="17" priority="4" operator="equal">
      <formula>120</formula>
    </cfRule>
    <cfRule type="cellIs" dxfId="16" priority="5" operator="equal">
      <formula>110</formula>
    </cfRule>
    <cfRule type="cellIs" dxfId="15" priority="6" operator="equal">
      <formula>90</formula>
    </cfRule>
  </conditionalFormatting>
  <conditionalFormatting sqref="H39">
    <cfRule type="cellIs" dxfId="14" priority="1" operator="equal">
      <formula>120</formula>
    </cfRule>
    <cfRule type="cellIs" dxfId="13" priority="2" operator="equal">
      <formula>110</formula>
    </cfRule>
    <cfRule type="cellIs" dxfId="12" priority="3" operator="equal">
      <formula>90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12F94-BD07-4CE6-942E-526FB80B384A}">
  <sheetPr>
    <tabColor rgb="FF7030A0"/>
  </sheetPr>
  <dimension ref="B2:E34"/>
  <sheetViews>
    <sheetView showGridLines="0" topLeftCell="A21" zoomScaleNormal="100" workbookViewId="0">
      <selection activeCell="E26" sqref="E26"/>
    </sheetView>
  </sheetViews>
  <sheetFormatPr defaultColWidth="8.7109375" defaultRowHeight="15"/>
  <cols>
    <col min="1" max="1" width="3.5703125" style="34" customWidth="1"/>
    <col min="2" max="2" width="28" style="34" customWidth="1"/>
    <col min="3" max="4" width="20.5703125" style="60" customWidth="1"/>
    <col min="5" max="5" width="20.5703125" style="34" customWidth="1"/>
    <col min="6" max="16384" width="8.7109375" style="34"/>
  </cols>
  <sheetData>
    <row r="2" spans="2:5" ht="18">
      <c r="B2" s="209" t="s">
        <v>147</v>
      </c>
      <c r="C2" s="209"/>
      <c r="D2" s="209"/>
      <c r="E2" s="209"/>
    </row>
    <row r="4" spans="2:5">
      <c r="B4" s="64" t="s">
        <v>103</v>
      </c>
    </row>
    <row r="6" spans="2:5">
      <c r="B6" s="41" t="s">
        <v>40</v>
      </c>
      <c r="C6" s="41" t="s">
        <v>50</v>
      </c>
      <c r="D6" s="41" t="s">
        <v>105</v>
      </c>
      <c r="E6" s="41" t="s">
        <v>14</v>
      </c>
    </row>
    <row r="7" spans="2:5" ht="15.75">
      <c r="B7" s="63" t="s">
        <v>97</v>
      </c>
      <c r="C7" s="70">
        <f>C8+C11</f>
        <v>179712</v>
      </c>
      <c r="D7" s="70">
        <f>SUM(D8+D11)</f>
        <v>1797.1200000000001</v>
      </c>
      <c r="E7" s="161">
        <f>SUM(E8+E11)</f>
        <v>28.8</v>
      </c>
    </row>
    <row r="8" spans="2:5" ht="15.75">
      <c r="B8" s="36" t="s">
        <v>36</v>
      </c>
      <c r="C8" s="69">
        <f>C9*C10</f>
        <v>131040</v>
      </c>
      <c r="D8" s="69">
        <f>D9*D10</f>
        <v>1310.4000000000001</v>
      </c>
      <c r="E8" s="69">
        <f>E10/SUM(E10,E13)*E9</f>
        <v>21</v>
      </c>
    </row>
    <row r="9" spans="2:5">
      <c r="B9" s="34" t="s">
        <v>98</v>
      </c>
      <c r="C9" s="68">
        <f>Supuestos!$Y$37</f>
        <v>30</v>
      </c>
      <c r="D9" s="68">
        <f>Supuestos!$Y$37</f>
        <v>30</v>
      </c>
      <c r="E9" s="68">
        <f>Supuestos!$Y$37</f>
        <v>30</v>
      </c>
    </row>
    <row r="10" spans="2:5">
      <c r="B10" s="34" t="s">
        <v>99</v>
      </c>
      <c r="C10" s="68">
        <f>Supuestos!$O$39</f>
        <v>4368</v>
      </c>
      <c r="D10" s="68">
        <f>Supuestos!$H$41</f>
        <v>43.68</v>
      </c>
      <c r="E10" s="66">
        <f>1*70%</f>
        <v>0.7</v>
      </c>
    </row>
    <row r="11" spans="2:5" ht="15.75">
      <c r="B11" s="11" t="s">
        <v>37</v>
      </c>
      <c r="C11" s="71">
        <f>C12*C13</f>
        <v>48672.000000000007</v>
      </c>
      <c r="D11" s="71">
        <f>D12*D13</f>
        <v>486.72000000000008</v>
      </c>
      <c r="E11" s="71">
        <f>E13/SUM(E10,E13)*E12</f>
        <v>7.8</v>
      </c>
    </row>
    <row r="12" spans="2:5">
      <c r="B12" s="34" t="s">
        <v>98</v>
      </c>
      <c r="C12" s="68">
        <f>Supuestos!$Y$38</f>
        <v>26</v>
      </c>
      <c r="D12" s="68">
        <f>Supuestos!$Y$38</f>
        <v>26</v>
      </c>
      <c r="E12" s="68">
        <f>Supuestos!$Y$38</f>
        <v>26</v>
      </c>
    </row>
    <row r="13" spans="2:5">
      <c r="B13" s="34" t="s">
        <v>99</v>
      </c>
      <c r="C13" s="68">
        <f>Supuestos!$O$40</f>
        <v>1872.0000000000002</v>
      </c>
      <c r="D13" s="68">
        <f>Supuestos!$H$42</f>
        <v>18.720000000000002</v>
      </c>
      <c r="E13" s="66">
        <f>1*30%</f>
        <v>0.3</v>
      </c>
    </row>
    <row r="17" spans="2:5">
      <c r="B17" s="61" t="s">
        <v>104</v>
      </c>
    </row>
    <row r="19" spans="2:5">
      <c r="B19" s="41" t="s">
        <v>40</v>
      </c>
      <c r="C19" s="41" t="s">
        <v>50</v>
      </c>
      <c r="D19" s="41" t="s">
        <v>105</v>
      </c>
      <c r="E19" s="41" t="s">
        <v>14</v>
      </c>
    </row>
    <row r="20" spans="2:5">
      <c r="B20" s="34" t="s">
        <v>102</v>
      </c>
      <c r="C20" s="66">
        <f>'Costos Variables-Pradera+Suplem'!$H$49</f>
        <v>80047.5</v>
      </c>
      <c r="D20" s="66">
        <f>C20/'Costos Variables-Pradera+Suplem'!$C$5</f>
        <v>800.47500000000002</v>
      </c>
      <c r="E20" s="66">
        <f>D20/Supuestos!$H$40</f>
        <v>12.828125</v>
      </c>
    </row>
    <row r="21" spans="2:5">
      <c r="B21" s="34" t="s">
        <v>79</v>
      </c>
      <c r="C21" s="66">
        <f>'Gastos Operativos'!$E$13</f>
        <v>85661.111111111109</v>
      </c>
      <c r="D21" s="66">
        <f>C21/'Costos Variables-Pradera+Suplem'!$C$5</f>
        <v>856.61111111111109</v>
      </c>
      <c r="E21" s="66">
        <f>D21/Supuestos!$H$40</f>
        <v>13.727742165242164</v>
      </c>
    </row>
    <row r="22" spans="2:5" ht="16.5" thickBot="1">
      <c r="B22" s="75" t="s">
        <v>106</v>
      </c>
      <c r="C22" s="76">
        <f>SUM(C20:C21)</f>
        <v>165708.61111111112</v>
      </c>
      <c r="D22" s="76">
        <f>SUM(D20:D21)</f>
        <v>1657.0861111111112</v>
      </c>
      <c r="E22" s="76">
        <f>SUM(E20:E21)</f>
        <v>26.555867165242162</v>
      </c>
    </row>
    <row r="23" spans="2:5" ht="16.5" thickTop="1">
      <c r="B23" s="36"/>
      <c r="C23" s="67"/>
      <c r="D23" s="67"/>
      <c r="E23" s="67"/>
    </row>
    <row r="26" spans="2:5" ht="16.5" customHeight="1">
      <c r="B26" s="65" t="s">
        <v>107</v>
      </c>
      <c r="C26" s="66"/>
      <c r="D26" s="66"/>
      <c r="E26" s="66"/>
    </row>
    <row r="27" spans="2:5" ht="16.5" customHeight="1">
      <c r="B27" s="74"/>
      <c r="C27" s="66"/>
      <c r="D27" s="66"/>
      <c r="E27" s="66"/>
    </row>
    <row r="28" spans="2:5">
      <c r="B28" s="41" t="s">
        <v>40</v>
      </c>
      <c r="C28" s="41" t="s">
        <v>50</v>
      </c>
      <c r="D28" s="41" t="s">
        <v>105</v>
      </c>
      <c r="E28" s="41" t="s">
        <v>14</v>
      </c>
    </row>
    <row r="29" spans="2:5" ht="15.75">
      <c r="B29" s="63" t="s">
        <v>97</v>
      </c>
      <c r="C29" s="70">
        <f>C7</f>
        <v>179712</v>
      </c>
      <c r="D29" s="70">
        <f>D7</f>
        <v>1797.1200000000001</v>
      </c>
      <c r="E29" s="70">
        <f>E7</f>
        <v>28.8</v>
      </c>
    </row>
    <row r="30" spans="2:5" ht="15.75">
      <c r="B30" s="72" t="s">
        <v>106</v>
      </c>
      <c r="C30" s="73">
        <f>C22</f>
        <v>165708.61111111112</v>
      </c>
      <c r="D30" s="73">
        <f>D22</f>
        <v>1657.0861111111112</v>
      </c>
      <c r="E30" s="73">
        <f>E22</f>
        <v>26.555867165242162</v>
      </c>
    </row>
    <row r="31" spans="2:5" ht="16.5" thickBot="1">
      <c r="B31" s="77" t="s">
        <v>108</v>
      </c>
      <c r="C31" s="78">
        <f>C29-C30</f>
        <v>14003.388888888876</v>
      </c>
      <c r="D31" s="78">
        <f t="shared" ref="D31:E31" si="0">D29-D30</f>
        <v>140.0338888888889</v>
      </c>
      <c r="E31" s="78">
        <f t="shared" si="0"/>
        <v>2.2441328347578384</v>
      </c>
    </row>
    <row r="32" spans="2:5" ht="15.75" thickTop="1"/>
    <row r="33" spans="2:5" ht="16.5" thickBot="1">
      <c r="B33" s="36" t="s">
        <v>112</v>
      </c>
      <c r="C33" s="108">
        <f>C31/C30</f>
        <v>8.4506102579662012E-2</v>
      </c>
      <c r="D33" s="108">
        <f t="shared" ref="D33:E33" si="1">D31/D30</f>
        <v>8.4506102579662096E-2</v>
      </c>
      <c r="E33" s="108">
        <f t="shared" si="1"/>
        <v>8.4506102579662234E-2</v>
      </c>
    </row>
    <row r="34" spans="2:5" ht="15.75" thickTop="1"/>
  </sheetData>
  <mergeCells count="1">
    <mergeCell ref="B2:E2"/>
  </mergeCells>
  <conditionalFormatting sqref="C31:E3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C33:E33">
    <cfRule type="cellIs" dxfId="1" priority="1" operator="lessThan">
      <formula>0%</formula>
    </cfRule>
    <cfRule type="cellIs" dxfId="0" priority="2" operator="greaterThan">
      <formula>0%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7EAC-150A-4071-B895-41B98E2D3A1E}">
  <sheetPr>
    <tabColor theme="5"/>
  </sheetPr>
  <dimension ref="A2:AA16"/>
  <sheetViews>
    <sheetView showGridLines="0" zoomScaleNormal="100" workbookViewId="0">
      <selection activeCell="B8" sqref="B8:B13"/>
    </sheetView>
  </sheetViews>
  <sheetFormatPr defaultColWidth="10.85546875" defaultRowHeight="15"/>
  <cols>
    <col min="1" max="1" width="3.42578125" customWidth="1"/>
    <col min="2" max="2" width="64.85546875" customWidth="1"/>
    <col min="3" max="3" width="11.5703125" customWidth="1"/>
    <col min="4" max="4" width="14.85546875" style="4" customWidth="1"/>
    <col min="5" max="5" width="20.28515625" style="4" customWidth="1"/>
    <col min="6" max="6" width="21.7109375" style="4" customWidth="1"/>
    <col min="7" max="7" width="15.85546875" customWidth="1"/>
    <col min="8" max="8" width="18.85546875" customWidth="1"/>
    <col min="9" max="9" width="24.85546875" customWidth="1"/>
    <col min="10" max="10" width="25.5703125" style="4" customWidth="1"/>
    <col min="11" max="27" width="6.5703125" style="4" customWidth="1"/>
  </cols>
  <sheetData>
    <row r="2" spans="1:10" ht="23.25">
      <c r="B2" s="201" t="s">
        <v>67</v>
      </c>
      <c r="C2" s="201"/>
      <c r="D2" s="201"/>
      <c r="E2" s="201"/>
      <c r="F2" s="201"/>
      <c r="G2" s="201"/>
      <c r="H2" s="46"/>
      <c r="I2" s="46"/>
    </row>
    <row r="3" spans="1:10">
      <c r="A3" s="1"/>
    </row>
    <row r="4" spans="1:10">
      <c r="A4" s="1"/>
    </row>
    <row r="5" spans="1:10">
      <c r="A5" s="1"/>
      <c r="B5" s="40" t="s">
        <v>89</v>
      </c>
    </row>
    <row r="6" spans="1:10">
      <c r="A6" s="1"/>
    </row>
    <row r="7" spans="1:10" ht="31.5" customHeight="1">
      <c r="B7" s="41" t="s">
        <v>88</v>
      </c>
      <c r="C7" s="42" t="s">
        <v>13</v>
      </c>
      <c r="D7" s="42" t="s">
        <v>44</v>
      </c>
      <c r="E7" s="42" t="s">
        <v>70</v>
      </c>
      <c r="F7" s="42" t="s">
        <v>15</v>
      </c>
      <c r="G7" s="42" t="s">
        <v>91</v>
      </c>
      <c r="H7" s="42" t="s">
        <v>92</v>
      </c>
      <c r="I7" s="42" t="s">
        <v>93</v>
      </c>
      <c r="J7" s="42" t="s">
        <v>90</v>
      </c>
    </row>
    <row r="8" spans="1:10">
      <c r="B8" s="2" t="s">
        <v>17</v>
      </c>
      <c r="C8" s="2" t="s">
        <v>2</v>
      </c>
      <c r="D8" s="3">
        <v>1</v>
      </c>
      <c r="E8" s="5">
        <v>12000</v>
      </c>
      <c r="F8" s="5">
        <f>(D8*E8)</f>
        <v>12000</v>
      </c>
      <c r="G8" s="8">
        <v>30</v>
      </c>
      <c r="H8" s="8">
        <f>G8*12</f>
        <v>360</v>
      </c>
      <c r="I8" s="8">
        <f>F8/G8</f>
        <v>400</v>
      </c>
      <c r="J8" s="8">
        <f>F8/H8</f>
        <v>33.333333333333336</v>
      </c>
    </row>
    <row r="9" spans="1:10">
      <c r="B9" s="2" t="s">
        <v>0</v>
      </c>
      <c r="C9" s="2" t="s">
        <v>6</v>
      </c>
      <c r="D9" s="3">
        <v>1</v>
      </c>
      <c r="E9" s="5">
        <v>16000</v>
      </c>
      <c r="F9" s="5">
        <f>(D9*E9)</f>
        <v>16000</v>
      </c>
      <c r="G9" s="8">
        <v>15</v>
      </c>
      <c r="H9" s="8">
        <f t="shared" ref="H9:H14" si="0">G9*12</f>
        <v>180</v>
      </c>
      <c r="I9" s="8">
        <f t="shared" ref="I9:I14" si="1">F9/G9</f>
        <v>1066.6666666666667</v>
      </c>
      <c r="J9" s="8">
        <f>F9/H9</f>
        <v>88.888888888888886</v>
      </c>
    </row>
    <row r="10" spans="1:10">
      <c r="B10" s="2" t="s">
        <v>12</v>
      </c>
      <c r="C10" s="2" t="s">
        <v>43</v>
      </c>
      <c r="D10" s="3">
        <f>Supuestos!V16</f>
        <v>100</v>
      </c>
      <c r="E10" s="5">
        <v>700</v>
      </c>
      <c r="F10" s="5">
        <f>(D10*E10)</f>
        <v>70000</v>
      </c>
      <c r="G10" s="8">
        <v>5</v>
      </c>
      <c r="H10" s="8">
        <f t="shared" si="0"/>
        <v>60</v>
      </c>
      <c r="I10" s="8">
        <f t="shared" si="1"/>
        <v>14000</v>
      </c>
      <c r="J10" s="8">
        <f t="shared" ref="J10:J14" si="2">F10/H10</f>
        <v>1166.6666666666667</v>
      </c>
    </row>
    <row r="11" spans="1:10">
      <c r="B11" s="2" t="s">
        <v>11</v>
      </c>
      <c r="C11" s="2" t="s">
        <v>43</v>
      </c>
      <c r="D11" s="3">
        <f>Supuestos!V16</f>
        <v>100</v>
      </c>
      <c r="E11" s="5">
        <v>300</v>
      </c>
      <c r="F11" s="5">
        <f t="shared" ref="F11:F14" si="3">(D11*E11)</f>
        <v>30000</v>
      </c>
      <c r="G11" s="8">
        <v>5</v>
      </c>
      <c r="H11" s="8">
        <f t="shared" si="0"/>
        <v>60</v>
      </c>
      <c r="I11" s="8">
        <f t="shared" si="1"/>
        <v>6000</v>
      </c>
      <c r="J11" s="8">
        <f t="shared" si="2"/>
        <v>500</v>
      </c>
    </row>
    <row r="12" spans="1:10">
      <c r="B12" s="2" t="s">
        <v>35</v>
      </c>
      <c r="C12" s="2" t="s">
        <v>43</v>
      </c>
      <c r="D12" s="3">
        <v>1</v>
      </c>
      <c r="E12" s="5">
        <v>900</v>
      </c>
      <c r="F12" s="5">
        <f t="shared" si="3"/>
        <v>900</v>
      </c>
      <c r="G12" s="8">
        <v>2</v>
      </c>
      <c r="H12" s="8">
        <f t="shared" si="0"/>
        <v>24</v>
      </c>
      <c r="I12" s="8">
        <f t="shared" si="1"/>
        <v>450</v>
      </c>
      <c r="J12" s="8">
        <f t="shared" si="2"/>
        <v>37.5</v>
      </c>
    </row>
    <row r="13" spans="1:10">
      <c r="B13" s="2" t="s">
        <v>32</v>
      </c>
      <c r="C13" s="2" t="s">
        <v>43</v>
      </c>
      <c r="D13" s="3">
        <v>1</v>
      </c>
      <c r="E13" s="5">
        <v>250</v>
      </c>
      <c r="F13" s="5">
        <f t="shared" si="3"/>
        <v>250</v>
      </c>
      <c r="G13" s="8">
        <v>5</v>
      </c>
      <c r="H13" s="8">
        <f t="shared" si="0"/>
        <v>60</v>
      </c>
      <c r="I13" s="8">
        <f t="shared" si="1"/>
        <v>50</v>
      </c>
      <c r="J13" s="8">
        <f t="shared" si="2"/>
        <v>4.166666666666667</v>
      </c>
    </row>
    <row r="14" spans="1:10">
      <c r="B14" s="2" t="s">
        <v>34</v>
      </c>
      <c r="C14" s="2" t="s">
        <v>43</v>
      </c>
      <c r="D14" s="3">
        <v>1</v>
      </c>
      <c r="E14" s="5">
        <v>200</v>
      </c>
      <c r="F14" s="5">
        <f t="shared" si="3"/>
        <v>200</v>
      </c>
      <c r="G14" s="8">
        <v>2</v>
      </c>
      <c r="H14" s="8">
        <f t="shared" si="0"/>
        <v>24</v>
      </c>
      <c r="I14" s="8">
        <f t="shared" si="1"/>
        <v>100</v>
      </c>
      <c r="J14" s="8">
        <f t="shared" si="2"/>
        <v>8.3333333333333339</v>
      </c>
    </row>
    <row r="15" spans="1:10" ht="15.75" thickBot="1">
      <c r="B15" s="43" t="s">
        <v>51</v>
      </c>
      <c r="C15" s="43"/>
      <c r="D15" s="43"/>
      <c r="E15" s="43"/>
      <c r="F15" s="43"/>
      <c r="G15" s="43"/>
      <c r="H15" s="43"/>
      <c r="I15" s="45">
        <f>SUM(I8:I14)</f>
        <v>22066.666666666664</v>
      </c>
      <c r="J15" s="45">
        <f>SUM(J8:J14)</f>
        <v>1838.8888888888889</v>
      </c>
    </row>
    <row r="16" spans="1:10" ht="15.75" thickTop="1">
      <c r="E16" s="6"/>
      <c r="F16" s="6"/>
    </row>
  </sheetData>
  <mergeCells count="1">
    <mergeCell ref="B2:G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43610-F5D7-4DDC-A074-440210BC6B7A}">
  <sheetPr>
    <tabColor rgb="FF00B0F0"/>
  </sheetPr>
  <dimension ref="A1:AF35"/>
  <sheetViews>
    <sheetView showGridLines="0" zoomScale="85" zoomScaleNormal="85" workbookViewId="0">
      <selection activeCell="F18" sqref="F18"/>
    </sheetView>
  </sheetViews>
  <sheetFormatPr defaultColWidth="10.85546875" defaultRowHeight="15"/>
  <cols>
    <col min="1" max="1" width="4.140625" style="34" customWidth="1"/>
    <col min="2" max="2" width="34.28515625" style="35" customWidth="1"/>
    <col min="3" max="16" width="6.85546875" style="35" customWidth="1"/>
    <col min="17" max="20" width="6.85546875" style="34" customWidth="1"/>
    <col min="21" max="21" width="13.7109375" style="34" customWidth="1"/>
    <col min="22" max="22" width="6.85546875" style="34" customWidth="1"/>
    <col min="23" max="24" width="10.85546875" style="34"/>
    <col min="25" max="25" width="25.42578125" style="34" customWidth="1"/>
    <col min="26" max="26" width="19.28515625" style="34" customWidth="1"/>
    <col min="27" max="16384" width="10.85546875" style="34"/>
  </cols>
  <sheetData>
    <row r="1" spans="1:32" s="35" customFormat="1">
      <c r="A1" s="34"/>
      <c r="C1" s="60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</row>
    <row r="2" spans="1:32">
      <c r="B2" s="121"/>
    </row>
    <row r="3" spans="1:32">
      <c r="B3" s="34"/>
      <c r="Q3" s="35"/>
      <c r="R3" s="35"/>
      <c r="S3" s="35"/>
      <c r="T3" s="35"/>
    </row>
    <row r="4" spans="1:32" ht="20.45" customHeight="1">
      <c r="B4" s="203" t="s">
        <v>40</v>
      </c>
      <c r="C4" s="202" t="s">
        <v>18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5" t="s">
        <v>51</v>
      </c>
    </row>
    <row r="5" spans="1:32" ht="15.75">
      <c r="B5" s="204"/>
      <c r="C5" s="105">
        <v>7</v>
      </c>
      <c r="D5" s="126">
        <v>8</v>
      </c>
      <c r="E5" s="105">
        <v>9</v>
      </c>
      <c r="F5" s="126">
        <v>10</v>
      </c>
      <c r="G5" s="105">
        <v>11</v>
      </c>
      <c r="H5" s="126">
        <v>12</v>
      </c>
      <c r="I5" s="105">
        <v>13</v>
      </c>
      <c r="J5" s="126">
        <v>14</v>
      </c>
      <c r="K5" s="105">
        <v>15</v>
      </c>
      <c r="L5" s="126">
        <v>16</v>
      </c>
      <c r="M5" s="105">
        <v>17</v>
      </c>
      <c r="N5" s="126">
        <v>18</v>
      </c>
      <c r="O5" s="105">
        <v>19</v>
      </c>
      <c r="P5" s="126">
        <v>20</v>
      </c>
      <c r="Q5" s="105">
        <v>21</v>
      </c>
      <c r="R5" s="126">
        <v>22</v>
      </c>
      <c r="S5" s="105">
        <v>23</v>
      </c>
      <c r="T5" s="124">
        <v>24</v>
      </c>
      <c r="U5" s="205"/>
      <c r="X5" s="36"/>
      <c r="Y5" s="36"/>
      <c r="Z5" s="36"/>
    </row>
    <row r="6" spans="1:32" ht="15.75">
      <c r="B6" s="106" t="s">
        <v>20</v>
      </c>
      <c r="C6" s="140">
        <v>45</v>
      </c>
      <c r="D6" s="141">
        <f>C6+4</f>
        <v>49</v>
      </c>
      <c r="E6" s="142">
        <f>D6+4</f>
        <v>53</v>
      </c>
      <c r="F6" s="141">
        <f>E6+4</f>
        <v>57</v>
      </c>
      <c r="G6" s="142">
        <f>F6+4</f>
        <v>61</v>
      </c>
      <c r="H6" s="141">
        <f>G6+4</f>
        <v>65</v>
      </c>
      <c r="I6" s="142">
        <f>H6+4.16666666666667</f>
        <v>69.166666666666671</v>
      </c>
      <c r="J6" s="141">
        <f t="shared" ref="J6:M6" si="0">I6+4.16666666666667</f>
        <v>73.333333333333343</v>
      </c>
      <c r="K6" s="142">
        <f t="shared" si="0"/>
        <v>77.500000000000014</v>
      </c>
      <c r="L6" s="141">
        <f t="shared" si="0"/>
        <v>81.666666666666686</v>
      </c>
      <c r="M6" s="142">
        <f t="shared" si="0"/>
        <v>85.833333333333357</v>
      </c>
      <c r="N6" s="141">
        <f>M6+4.16666666666667</f>
        <v>90.000000000000028</v>
      </c>
      <c r="O6" s="142">
        <f>N6+5</f>
        <v>95.000000000000028</v>
      </c>
      <c r="P6" s="141">
        <f t="shared" ref="P6:S6" si="1">O6+5</f>
        <v>100.00000000000003</v>
      </c>
      <c r="Q6" s="142">
        <f t="shared" si="1"/>
        <v>105.00000000000003</v>
      </c>
      <c r="R6" s="141">
        <f t="shared" si="1"/>
        <v>110.00000000000003</v>
      </c>
      <c r="S6" s="142">
        <f t="shared" si="1"/>
        <v>115.00000000000003</v>
      </c>
      <c r="T6" s="143">
        <f>S6+5</f>
        <v>120.00000000000003</v>
      </c>
      <c r="U6" s="38"/>
      <c r="X6" s="35"/>
      <c r="Y6" s="35"/>
      <c r="Z6" s="35"/>
    </row>
    <row r="7" spans="1:32" ht="15.75">
      <c r="B7" s="106" t="s">
        <v>130</v>
      </c>
      <c r="C7" s="144">
        <f>C6*0.64%</f>
        <v>0.28800000000000003</v>
      </c>
      <c r="D7" s="145">
        <f>D6*0.64%</f>
        <v>0.31359999999999999</v>
      </c>
      <c r="E7" s="144">
        <f>E6*0.64%</f>
        <v>0.3392</v>
      </c>
      <c r="F7" s="145">
        <f t="shared" ref="F7:T7" si="2">F6*0.64%</f>
        <v>0.36480000000000001</v>
      </c>
      <c r="G7" s="144">
        <f t="shared" si="2"/>
        <v>0.39040000000000002</v>
      </c>
      <c r="H7" s="145">
        <f t="shared" si="2"/>
        <v>0.41600000000000004</v>
      </c>
      <c r="I7" s="144">
        <f t="shared" si="2"/>
        <v>0.44266666666666671</v>
      </c>
      <c r="J7" s="145">
        <f t="shared" si="2"/>
        <v>0.46933333333333344</v>
      </c>
      <c r="K7" s="144">
        <f t="shared" si="2"/>
        <v>0.49600000000000011</v>
      </c>
      <c r="L7" s="145">
        <f t="shared" si="2"/>
        <v>0.52266666666666683</v>
      </c>
      <c r="M7" s="144">
        <f t="shared" si="2"/>
        <v>0.54933333333333356</v>
      </c>
      <c r="N7" s="145">
        <f t="shared" si="2"/>
        <v>0.57600000000000018</v>
      </c>
      <c r="O7" s="144">
        <f t="shared" si="2"/>
        <v>0.60800000000000021</v>
      </c>
      <c r="P7" s="145">
        <f t="shared" si="2"/>
        <v>0.64000000000000024</v>
      </c>
      <c r="Q7" s="144">
        <f t="shared" si="2"/>
        <v>0.67200000000000026</v>
      </c>
      <c r="R7" s="145">
        <f t="shared" si="2"/>
        <v>0.70400000000000018</v>
      </c>
      <c r="S7" s="144">
        <f t="shared" si="2"/>
        <v>0.73600000000000021</v>
      </c>
      <c r="T7" s="145">
        <f t="shared" si="2"/>
        <v>0.76800000000000024</v>
      </c>
      <c r="U7" s="152">
        <f t="shared" ref="U7:U13" si="3">SUM(C7:T7)</f>
        <v>9.2960000000000047</v>
      </c>
    </row>
    <row r="8" spans="1:32" ht="15.75">
      <c r="B8" s="127" t="s">
        <v>131</v>
      </c>
      <c r="C8" s="146">
        <f t="shared" ref="C8:T8" si="4">C7*30</f>
        <v>8.64</v>
      </c>
      <c r="D8" s="147">
        <f t="shared" si="4"/>
        <v>9.4079999999999995</v>
      </c>
      <c r="E8" s="148">
        <f t="shared" si="4"/>
        <v>10.176</v>
      </c>
      <c r="F8" s="147">
        <f t="shared" si="4"/>
        <v>10.944000000000001</v>
      </c>
      <c r="G8" s="148">
        <f t="shared" si="4"/>
        <v>11.712000000000002</v>
      </c>
      <c r="H8" s="147">
        <f t="shared" si="4"/>
        <v>12.48</v>
      </c>
      <c r="I8" s="148">
        <f t="shared" si="4"/>
        <v>13.280000000000001</v>
      </c>
      <c r="J8" s="147">
        <f t="shared" si="4"/>
        <v>14.080000000000004</v>
      </c>
      <c r="K8" s="148">
        <f t="shared" si="4"/>
        <v>14.880000000000003</v>
      </c>
      <c r="L8" s="147">
        <f t="shared" si="4"/>
        <v>15.680000000000005</v>
      </c>
      <c r="M8" s="148">
        <f t="shared" si="4"/>
        <v>16.480000000000008</v>
      </c>
      <c r="N8" s="147">
        <f t="shared" si="4"/>
        <v>17.280000000000005</v>
      </c>
      <c r="O8" s="148">
        <f t="shared" si="4"/>
        <v>18.240000000000006</v>
      </c>
      <c r="P8" s="147">
        <f t="shared" si="4"/>
        <v>19.200000000000006</v>
      </c>
      <c r="Q8" s="148">
        <f t="shared" si="4"/>
        <v>20.160000000000007</v>
      </c>
      <c r="R8" s="147">
        <f t="shared" si="4"/>
        <v>21.120000000000005</v>
      </c>
      <c r="S8" s="148">
        <f t="shared" si="4"/>
        <v>22.080000000000005</v>
      </c>
      <c r="T8" s="147">
        <f t="shared" si="4"/>
        <v>23.040000000000006</v>
      </c>
      <c r="U8" s="151">
        <f t="shared" si="3"/>
        <v>278.88000000000011</v>
      </c>
    </row>
    <row r="9" spans="1:32" ht="15.75">
      <c r="B9" s="128" t="s">
        <v>134</v>
      </c>
      <c r="C9" s="149">
        <f>C8*'Planeación de Actividades'!$C$7</f>
        <v>864</v>
      </c>
      <c r="D9" s="150">
        <f>D8*'Planeación de Actividades'!$C$7</f>
        <v>940.8</v>
      </c>
      <c r="E9" s="149">
        <f>E8*'Planeación de Actividades'!$C$7</f>
        <v>1017.6</v>
      </c>
      <c r="F9" s="150">
        <f>F8*'Planeación de Actividades'!$C$7</f>
        <v>1094.4000000000001</v>
      </c>
      <c r="G9" s="149">
        <f>G8*'Planeación de Actividades'!$C$7</f>
        <v>1171.2</v>
      </c>
      <c r="H9" s="150">
        <f>H8*'Planeación de Actividades'!$C$7</f>
        <v>1248</v>
      </c>
      <c r="I9" s="125">
        <f>I8*'Planeación de Actividades'!$C$7</f>
        <v>1328</v>
      </c>
      <c r="J9" s="123">
        <f>J8*'Planeación de Actividades'!$C$7</f>
        <v>1408.0000000000005</v>
      </c>
      <c r="K9" s="125">
        <f>K8*'Planeación de Actividades'!$C$7</f>
        <v>1488.0000000000002</v>
      </c>
      <c r="L9" s="123">
        <f>L8*'Planeación de Actividades'!$C$7</f>
        <v>1568.0000000000005</v>
      </c>
      <c r="M9" s="125">
        <f>M8*'Planeación de Actividades'!$C$7</f>
        <v>1648.0000000000007</v>
      </c>
      <c r="N9" s="150">
        <f>N8*'Planeación de Actividades'!$C$7</f>
        <v>1728.0000000000005</v>
      </c>
      <c r="O9" s="149">
        <f>O8*'Planeación de Actividades'!$C$7</f>
        <v>1824.0000000000005</v>
      </c>
      <c r="P9" s="150">
        <f>P8*'Planeación de Actividades'!$C$7</f>
        <v>1920.0000000000007</v>
      </c>
      <c r="Q9" s="149">
        <f>Q8*'Planeación de Actividades'!$C$7</f>
        <v>2016.0000000000007</v>
      </c>
      <c r="R9" s="150">
        <f>R8*'Planeación de Actividades'!$C$7</f>
        <v>2112.0000000000005</v>
      </c>
      <c r="S9" s="149">
        <f>S8*'Planeación de Actividades'!$C$7</f>
        <v>2208.0000000000005</v>
      </c>
      <c r="T9" s="150">
        <f>T8*'Planeación de Actividades'!$C$7</f>
        <v>2304.0000000000005</v>
      </c>
      <c r="U9" s="154">
        <f t="shared" si="3"/>
        <v>27888</v>
      </c>
      <c r="V9" s="36"/>
    </row>
    <row r="10" spans="1:32">
      <c r="B10" s="135" t="s">
        <v>132</v>
      </c>
      <c r="C10" s="129">
        <f>C6*0.5%</f>
        <v>0.22500000000000001</v>
      </c>
      <c r="D10" s="129">
        <f>D6*0.5%</f>
        <v>0.245</v>
      </c>
      <c r="E10" s="129">
        <f>E6*0.5%</f>
        <v>0.26500000000000001</v>
      </c>
      <c r="F10" s="129">
        <f>F6*0.5%</f>
        <v>0.28500000000000003</v>
      </c>
      <c r="G10" s="129">
        <f>G6*0.5%</f>
        <v>0.30499999999999999</v>
      </c>
      <c r="H10" s="129">
        <f t="shared" ref="H10:T10" si="5">H6*0.5%</f>
        <v>0.32500000000000001</v>
      </c>
      <c r="I10" s="129">
        <f t="shared" si="5"/>
        <v>0.34583333333333338</v>
      </c>
      <c r="J10" s="129">
        <f t="shared" si="5"/>
        <v>0.3666666666666667</v>
      </c>
      <c r="K10" s="129">
        <f t="shared" si="5"/>
        <v>0.38750000000000007</v>
      </c>
      <c r="L10" s="129">
        <f t="shared" si="5"/>
        <v>0.40833333333333344</v>
      </c>
      <c r="M10" s="129">
        <f t="shared" si="5"/>
        <v>0.42916666666666681</v>
      </c>
      <c r="N10" s="129">
        <f t="shared" si="5"/>
        <v>0.45000000000000018</v>
      </c>
      <c r="O10" s="129">
        <f t="shared" si="5"/>
        <v>0.47500000000000014</v>
      </c>
      <c r="P10" s="129">
        <f t="shared" si="5"/>
        <v>0.50000000000000011</v>
      </c>
      <c r="Q10" s="129">
        <f t="shared" si="5"/>
        <v>0.52500000000000013</v>
      </c>
      <c r="R10" s="129">
        <f t="shared" si="5"/>
        <v>0.55000000000000016</v>
      </c>
      <c r="S10" s="129">
        <f t="shared" si="5"/>
        <v>0.57500000000000018</v>
      </c>
      <c r="T10" s="130">
        <f t="shared" si="5"/>
        <v>0.6000000000000002</v>
      </c>
      <c r="U10" s="163">
        <f t="shared" si="3"/>
        <v>7.2625000000000011</v>
      </c>
    </row>
    <row r="11" spans="1:32">
      <c r="B11" s="136" t="s">
        <v>133</v>
      </c>
      <c r="C11" s="131">
        <f t="shared" ref="C11:T11" si="6">C10*30</f>
        <v>6.75</v>
      </c>
      <c r="D11" s="131">
        <f t="shared" si="6"/>
        <v>7.35</v>
      </c>
      <c r="E11" s="131">
        <f t="shared" si="6"/>
        <v>7.95</v>
      </c>
      <c r="F11" s="131">
        <f t="shared" si="6"/>
        <v>8.5500000000000007</v>
      </c>
      <c r="G11" s="131">
        <f t="shared" si="6"/>
        <v>9.15</v>
      </c>
      <c r="H11" s="131">
        <f t="shared" si="6"/>
        <v>9.75</v>
      </c>
      <c r="I11" s="131">
        <f t="shared" si="6"/>
        <v>10.375000000000002</v>
      </c>
      <c r="J11" s="131">
        <f t="shared" si="6"/>
        <v>11</v>
      </c>
      <c r="K11" s="131">
        <f t="shared" si="6"/>
        <v>11.625000000000002</v>
      </c>
      <c r="L11" s="131">
        <f t="shared" si="6"/>
        <v>12.250000000000004</v>
      </c>
      <c r="M11" s="131">
        <f t="shared" si="6"/>
        <v>12.875000000000004</v>
      </c>
      <c r="N11" s="131">
        <f t="shared" si="6"/>
        <v>13.500000000000005</v>
      </c>
      <c r="O11" s="131">
        <f t="shared" si="6"/>
        <v>14.250000000000004</v>
      </c>
      <c r="P11" s="131">
        <f t="shared" si="6"/>
        <v>15.000000000000004</v>
      </c>
      <c r="Q11" s="131">
        <f t="shared" si="6"/>
        <v>15.750000000000004</v>
      </c>
      <c r="R11" s="131">
        <f t="shared" si="6"/>
        <v>16.500000000000004</v>
      </c>
      <c r="S11" s="131">
        <f t="shared" si="6"/>
        <v>17.250000000000007</v>
      </c>
      <c r="T11" s="132">
        <f t="shared" si="6"/>
        <v>18.000000000000007</v>
      </c>
      <c r="U11" s="164">
        <f t="shared" si="3"/>
        <v>217.875</v>
      </c>
    </row>
    <row r="12" spans="1:32" ht="15.75">
      <c r="B12" s="137" t="s">
        <v>135</v>
      </c>
      <c r="C12" s="138">
        <f>C11*'Planeación de Actividades'!$C$7</f>
        <v>675</v>
      </c>
      <c r="D12" s="138">
        <f>D11*'Planeación de Actividades'!$C$7</f>
        <v>735</v>
      </c>
      <c r="E12" s="138">
        <f>E11*'Planeación de Actividades'!$C$7</f>
        <v>795</v>
      </c>
      <c r="F12" s="138">
        <f>F11*'Planeación de Actividades'!$C$7</f>
        <v>855.00000000000011</v>
      </c>
      <c r="G12" s="138">
        <f>G11*'Planeación de Actividades'!$C$7</f>
        <v>915</v>
      </c>
      <c r="H12" s="138">
        <f>H11*'Planeación de Actividades'!$C$7</f>
        <v>975</v>
      </c>
      <c r="I12" s="138">
        <f>I11*'Planeación de Actividades'!$C$7</f>
        <v>1037.5000000000002</v>
      </c>
      <c r="J12" s="138">
        <f>J11*'Planeación de Actividades'!$C$7</f>
        <v>1100</v>
      </c>
      <c r="K12" s="138">
        <f>K11*'Planeación de Actividades'!$C$7</f>
        <v>1162.5000000000002</v>
      </c>
      <c r="L12" s="138">
        <f>L11*'Planeación de Actividades'!$C$7</f>
        <v>1225.0000000000005</v>
      </c>
      <c r="M12" s="138">
        <f>M11*'Planeación de Actividades'!$C$7</f>
        <v>1287.5000000000005</v>
      </c>
      <c r="N12" s="138">
        <f>N11*'Planeación de Actividades'!$C$7</f>
        <v>1350.0000000000005</v>
      </c>
      <c r="O12" s="138">
        <f>O11*'Planeación de Actividades'!$C$7</f>
        <v>1425.0000000000005</v>
      </c>
      <c r="P12" s="138">
        <f>P11*'Planeación de Actividades'!$C$7</f>
        <v>1500.0000000000005</v>
      </c>
      <c r="Q12" s="138">
        <f>Q11*'Planeación de Actividades'!$C$7</f>
        <v>1575.0000000000005</v>
      </c>
      <c r="R12" s="138">
        <f>R11*'Planeación de Actividades'!$C$7</f>
        <v>1650.0000000000005</v>
      </c>
      <c r="S12" s="138">
        <f>S11*'Planeación de Actividades'!$C$7</f>
        <v>1725.0000000000007</v>
      </c>
      <c r="T12" s="139">
        <f>T11*'Planeación de Actividades'!$C$7</f>
        <v>1800.0000000000007</v>
      </c>
      <c r="U12" s="165">
        <f t="shared" si="3"/>
        <v>21787.5</v>
      </c>
      <c r="V12"/>
    </row>
    <row r="13" spans="1:32" ht="15.75">
      <c r="B13" s="122" t="s">
        <v>136</v>
      </c>
      <c r="C13" s="133">
        <f>C12/22</f>
        <v>30.681818181818183</v>
      </c>
      <c r="D13" s="133">
        <f t="shared" ref="D13:T13" si="7">D12/22</f>
        <v>33.409090909090907</v>
      </c>
      <c r="E13" s="133">
        <f t="shared" si="7"/>
        <v>36.136363636363633</v>
      </c>
      <c r="F13" s="133">
        <f t="shared" si="7"/>
        <v>38.863636363636367</v>
      </c>
      <c r="G13" s="133">
        <f t="shared" si="7"/>
        <v>41.590909090909093</v>
      </c>
      <c r="H13" s="133">
        <f t="shared" si="7"/>
        <v>44.31818181818182</v>
      </c>
      <c r="I13" s="162">
        <f t="shared" si="7"/>
        <v>47.159090909090921</v>
      </c>
      <c r="J13" s="162">
        <f t="shared" si="7"/>
        <v>50</v>
      </c>
      <c r="K13" s="162">
        <f t="shared" si="7"/>
        <v>52.840909090909101</v>
      </c>
      <c r="L13" s="162">
        <f t="shared" si="7"/>
        <v>55.681818181818201</v>
      </c>
      <c r="M13" s="162">
        <f t="shared" si="7"/>
        <v>58.522727272727295</v>
      </c>
      <c r="N13" s="133">
        <f t="shared" si="7"/>
        <v>61.363636363636381</v>
      </c>
      <c r="O13" s="133">
        <f t="shared" si="7"/>
        <v>64.772727272727295</v>
      </c>
      <c r="P13" s="133">
        <f t="shared" si="7"/>
        <v>68.181818181818201</v>
      </c>
      <c r="Q13" s="133">
        <f t="shared" si="7"/>
        <v>71.590909090909108</v>
      </c>
      <c r="R13" s="133">
        <f t="shared" si="7"/>
        <v>75.000000000000014</v>
      </c>
      <c r="S13" s="133">
        <f t="shared" si="7"/>
        <v>78.409090909090935</v>
      </c>
      <c r="T13" s="134">
        <f t="shared" si="7"/>
        <v>81.818181818181856</v>
      </c>
      <c r="U13" s="153">
        <f t="shared" si="3"/>
        <v>990.34090909090935</v>
      </c>
    </row>
    <row r="17" spans="1:32">
      <c r="B17" s="60" t="s">
        <v>137</v>
      </c>
    </row>
    <row r="18" spans="1:32" s="35" customFormat="1">
      <c r="A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</row>
    <row r="19" spans="1:32" s="35" customFormat="1">
      <c r="A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</row>
    <row r="20" spans="1:32" s="35" customFormat="1">
      <c r="A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</row>
    <row r="21" spans="1:32" s="35" customFormat="1">
      <c r="A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1:32" s="35" customFormat="1">
      <c r="A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</row>
    <row r="23" spans="1:32" s="35" customFormat="1">
      <c r="A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</row>
    <row r="24" spans="1:32" s="35" customFormat="1">
      <c r="A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</row>
    <row r="25" spans="1:32" s="35" customFormat="1">
      <c r="A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</row>
    <row r="26" spans="1:32" s="35" customFormat="1">
      <c r="A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</row>
    <row r="27" spans="1:32" s="35" customFormat="1">
      <c r="A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1:32" s="35" customFormat="1">
      <c r="A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</row>
    <row r="29" spans="1:32" s="35" customFormat="1">
      <c r="A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</row>
    <row r="30" spans="1:32" s="35" customFormat="1">
      <c r="A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</row>
    <row r="31" spans="1:32" s="35" customFormat="1">
      <c r="A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</row>
    <row r="32" spans="1:32" s="35" customFormat="1">
      <c r="A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</row>
    <row r="34" spans="1:32" s="35" customFormat="1">
      <c r="A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</row>
    <row r="35" spans="1:32" s="35" customFormat="1">
      <c r="A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</row>
  </sheetData>
  <mergeCells count="3">
    <mergeCell ref="C4:T4"/>
    <mergeCell ref="B4:B5"/>
    <mergeCell ref="U4:U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5568-449D-4D37-84A7-880857A73BC3}">
  <sheetPr>
    <tabColor rgb="FFFFFF00"/>
  </sheetPr>
  <dimension ref="A3:E14"/>
  <sheetViews>
    <sheetView showGridLines="0" zoomScale="85" zoomScaleNormal="85" workbookViewId="0">
      <selection activeCell="E12" sqref="E12"/>
    </sheetView>
  </sheetViews>
  <sheetFormatPr defaultColWidth="9.140625" defaultRowHeight="15"/>
  <cols>
    <col min="1" max="1" width="54.85546875" style="47" customWidth="1"/>
    <col min="2" max="2" width="22.5703125" style="47" customWidth="1"/>
    <col min="3" max="3" width="17.42578125" style="47" customWidth="1"/>
    <col min="4" max="4" width="21.5703125" style="47" customWidth="1"/>
    <col min="5" max="5" width="17.42578125" style="47" customWidth="1"/>
    <col min="6" max="16384" width="9.140625" style="47"/>
  </cols>
  <sheetData>
    <row r="3" spans="1:5" ht="20.25">
      <c r="A3" s="206" t="s">
        <v>83</v>
      </c>
      <c r="B3" s="206"/>
      <c r="C3" s="206"/>
      <c r="D3" s="206"/>
      <c r="E3" s="206"/>
    </row>
    <row r="6" spans="1:5" ht="15.75">
      <c r="A6" s="50" t="s">
        <v>82</v>
      </c>
      <c r="B6" s="50" t="s">
        <v>13</v>
      </c>
      <c r="C6" s="50" t="s">
        <v>44</v>
      </c>
      <c r="D6" s="50" t="s">
        <v>70</v>
      </c>
      <c r="E6" s="50" t="s">
        <v>15</v>
      </c>
    </row>
    <row r="7" spans="1:5">
      <c r="A7" s="166" t="s">
        <v>86</v>
      </c>
      <c r="B7" s="51" t="s">
        <v>18</v>
      </c>
      <c r="C7" s="51">
        <v>17</v>
      </c>
      <c r="D7" s="52">
        <v>1200</v>
      </c>
      <c r="E7" s="53">
        <f>C7*D7</f>
        <v>20400</v>
      </c>
    </row>
    <row r="8" spans="1:5">
      <c r="A8" s="166" t="s">
        <v>94</v>
      </c>
      <c r="B8" s="51" t="s">
        <v>18</v>
      </c>
      <c r="C8" s="51">
        <v>17</v>
      </c>
      <c r="D8" s="52">
        <v>2000</v>
      </c>
      <c r="E8" s="53">
        <f>C8*D8</f>
        <v>34000</v>
      </c>
    </row>
    <row r="9" spans="1:5">
      <c r="A9" s="49" t="s">
        <v>84</v>
      </c>
      <c r="B9" s="51" t="s">
        <v>87</v>
      </c>
      <c r="C9" s="51">
        <v>3</v>
      </c>
      <c r="D9" s="52"/>
      <c r="E9" s="53">
        <f t="shared" ref="E9:E11" si="0">C9*D9</f>
        <v>0</v>
      </c>
    </row>
    <row r="10" spans="1:5">
      <c r="A10" s="49" t="s">
        <v>81</v>
      </c>
      <c r="B10" s="51" t="s">
        <v>18</v>
      </c>
      <c r="C10" s="51">
        <v>17</v>
      </c>
      <c r="D10" s="52"/>
      <c r="E10" s="53">
        <f t="shared" si="0"/>
        <v>0</v>
      </c>
    </row>
    <row r="11" spans="1:5">
      <c r="A11" s="49" t="s">
        <v>85</v>
      </c>
      <c r="B11" s="51" t="s">
        <v>87</v>
      </c>
      <c r="C11" s="51">
        <v>4</v>
      </c>
      <c r="D11" s="52"/>
      <c r="E11" s="53">
        <f t="shared" si="0"/>
        <v>0</v>
      </c>
    </row>
    <row r="12" spans="1:5">
      <c r="A12" s="166" t="s">
        <v>80</v>
      </c>
      <c r="B12" s="51" t="s">
        <v>18</v>
      </c>
      <c r="C12" s="51">
        <v>17</v>
      </c>
      <c r="D12" s="52">
        <f>Inversiones!J15</f>
        <v>1838.8888888888889</v>
      </c>
      <c r="E12" s="53">
        <f>C12*D12</f>
        <v>31261.111111111113</v>
      </c>
    </row>
    <row r="13" spans="1:5" ht="16.5" thickBot="1">
      <c r="A13" s="48" t="s">
        <v>95</v>
      </c>
      <c r="B13" s="54"/>
      <c r="C13" s="54"/>
      <c r="D13" s="54"/>
      <c r="E13" s="54">
        <f>SUM(E7:E12)</f>
        <v>85661.111111111109</v>
      </c>
    </row>
    <row r="14" spans="1:5" ht="15.75" thickTop="1"/>
  </sheetData>
  <mergeCells count="1">
    <mergeCell ref="A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4:AT66"/>
  <sheetViews>
    <sheetView showGridLines="0" tabSelected="1" zoomScale="70" zoomScaleNormal="70" workbookViewId="0">
      <pane xSplit="10" ySplit="12" topLeftCell="K13" activePane="bottomRight" state="frozen"/>
      <selection pane="topRight" activeCell="K1" sqref="K1"/>
      <selection pane="bottomLeft" activeCell="A13" sqref="A13"/>
      <selection pane="bottomRight" activeCell="P16" sqref="P16"/>
    </sheetView>
  </sheetViews>
  <sheetFormatPr defaultColWidth="10.85546875" defaultRowHeight="14.25" outlineLevelCol="1"/>
  <cols>
    <col min="1" max="1" width="3.42578125" style="9" customWidth="1"/>
    <col min="2" max="2" width="62.42578125" style="9" customWidth="1"/>
    <col min="3" max="3" width="15" style="9" hidden="1" customWidth="1" outlineLevel="1"/>
    <col min="4" max="4" width="11.85546875" style="10" hidden="1" customWidth="1" outlineLevel="1"/>
    <col min="5" max="6" width="15" style="10" hidden="1" customWidth="1" outlineLevel="1"/>
    <col min="7" max="7" width="17.5703125" style="10" hidden="1" customWidth="1" outlineLevel="1"/>
    <col min="8" max="8" width="21.42578125" style="9" hidden="1" customWidth="1" outlineLevel="1"/>
    <col min="9" max="9" width="2.42578125" style="10" customWidth="1" collapsed="1"/>
    <col min="10" max="10" width="11.42578125" style="10" customWidth="1"/>
    <col min="11" max="11" width="13.140625" style="9" customWidth="1"/>
    <col min="12" max="12" width="13.140625" style="110" customWidth="1"/>
    <col min="13" max="40" width="13.140625" style="10" customWidth="1"/>
    <col min="41" max="42" width="10.85546875" style="9"/>
    <col min="43" max="46" width="11.7109375" style="9" customWidth="1"/>
    <col min="47" max="16384" width="10.85546875" style="9"/>
  </cols>
  <sheetData>
    <row r="4" spans="1:46" ht="23.25">
      <c r="B4" s="208" t="s">
        <v>67</v>
      </c>
      <c r="C4" s="208"/>
      <c r="D4" s="208"/>
      <c r="E4" s="208"/>
      <c r="F4" s="208"/>
      <c r="G4" s="208"/>
      <c r="K4" s="208" t="s">
        <v>152</v>
      </c>
      <c r="L4" s="208"/>
      <c r="M4" s="208"/>
      <c r="N4" s="208"/>
      <c r="O4" s="208"/>
      <c r="P4" s="208"/>
    </row>
    <row r="5" spans="1:46" ht="15">
      <c r="A5" s="11"/>
    </row>
    <row r="6" spans="1:46" ht="15">
      <c r="A6" s="11"/>
      <c r="B6" s="7" t="s">
        <v>56</v>
      </c>
      <c r="C6" s="39" t="s">
        <v>53</v>
      </c>
    </row>
    <row r="7" spans="1:46" ht="15">
      <c r="A7" s="11"/>
      <c r="B7" s="7" t="s">
        <v>68</v>
      </c>
      <c r="C7" s="39">
        <f>Supuestos!V16</f>
        <v>100</v>
      </c>
    </row>
    <row r="8" spans="1:46" ht="15">
      <c r="A8" s="11"/>
    </row>
    <row r="9" spans="1:46" ht="15">
      <c r="A9" s="11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</row>
    <row r="10" spans="1:46" ht="15">
      <c r="A10" s="11"/>
      <c r="B10" s="40" t="s">
        <v>153</v>
      </c>
      <c r="K10" s="115"/>
      <c r="L10" s="115"/>
      <c r="M10" s="115"/>
      <c r="N10" s="115"/>
      <c r="O10" s="115"/>
      <c r="P10" s="115"/>
      <c r="Q10" s="115"/>
      <c r="R10" s="115"/>
      <c r="S10" s="115"/>
      <c r="T10" s="115">
        <v>8</v>
      </c>
      <c r="U10" s="115">
        <v>9</v>
      </c>
      <c r="V10" s="115">
        <v>10</v>
      </c>
      <c r="W10" s="115">
        <v>11</v>
      </c>
      <c r="X10" s="115">
        <v>12</v>
      </c>
      <c r="Y10" s="115">
        <v>13</v>
      </c>
      <c r="Z10" s="115">
        <v>14</v>
      </c>
      <c r="AA10" s="115">
        <v>15</v>
      </c>
      <c r="AB10" s="115">
        <v>16</v>
      </c>
      <c r="AC10" s="115">
        <v>17</v>
      </c>
      <c r="AD10" s="115">
        <v>18</v>
      </c>
      <c r="AE10" s="115">
        <v>19</v>
      </c>
      <c r="AF10" s="115">
        <v>20</v>
      </c>
      <c r="AG10" s="115">
        <v>21</v>
      </c>
      <c r="AH10" s="115">
        <v>22</v>
      </c>
      <c r="AI10" s="115">
        <v>23</v>
      </c>
      <c r="AJ10" s="115">
        <v>24</v>
      </c>
    </row>
    <row r="11" spans="1:46" ht="15">
      <c r="E11" s="12"/>
      <c r="F11" s="12"/>
      <c r="G11" s="12"/>
      <c r="K11" s="207">
        <v>2024</v>
      </c>
      <c r="L11" s="207"/>
      <c r="M11" s="207"/>
      <c r="N11" s="207"/>
      <c r="O11" s="207"/>
      <c r="P11" s="207"/>
      <c r="Q11" s="207"/>
      <c r="R11" s="207"/>
      <c r="S11" s="207"/>
      <c r="T11" s="207"/>
      <c r="U11" s="207"/>
      <c r="V11" s="207"/>
      <c r="W11" s="207">
        <v>2025</v>
      </c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>
        <v>2026</v>
      </c>
      <c r="AJ11" s="207"/>
      <c r="AK11" s="207"/>
      <c r="AL11" s="207"/>
      <c r="AM11" s="207"/>
      <c r="AN11" s="207"/>
      <c r="AO11" s="207"/>
      <c r="AP11" s="207"/>
      <c r="AQ11" s="207"/>
      <c r="AR11" s="207"/>
      <c r="AS11" s="207"/>
      <c r="AT11" s="207"/>
    </row>
    <row r="12" spans="1:46" ht="15">
      <c r="B12" s="41" t="s">
        <v>74</v>
      </c>
      <c r="C12" s="41" t="s">
        <v>13</v>
      </c>
      <c r="D12" s="41" t="s">
        <v>44</v>
      </c>
      <c r="E12" s="41" t="s">
        <v>70</v>
      </c>
      <c r="F12" s="42" t="s">
        <v>53</v>
      </c>
      <c r="G12" s="41" t="s">
        <v>71</v>
      </c>
      <c r="H12" s="41" t="s">
        <v>15</v>
      </c>
      <c r="K12" s="62" t="s">
        <v>113</v>
      </c>
      <c r="L12" s="41" t="s">
        <v>114</v>
      </c>
      <c r="M12" s="42" t="s">
        <v>115</v>
      </c>
      <c r="N12" s="42" t="s">
        <v>116</v>
      </c>
      <c r="O12" s="42" t="s">
        <v>117</v>
      </c>
      <c r="P12" s="42" t="s">
        <v>118</v>
      </c>
      <c r="Q12" s="114" t="s">
        <v>119</v>
      </c>
      <c r="R12" s="114" t="s">
        <v>120</v>
      </c>
      <c r="S12" s="114" t="s">
        <v>121</v>
      </c>
      <c r="T12" s="114" t="s">
        <v>122</v>
      </c>
      <c r="U12" s="114" t="s">
        <v>123</v>
      </c>
      <c r="V12" s="42" t="s">
        <v>124</v>
      </c>
      <c r="W12" s="42" t="s">
        <v>125</v>
      </c>
      <c r="X12" s="42" t="s">
        <v>114</v>
      </c>
      <c r="Y12" s="42" t="s">
        <v>115</v>
      </c>
      <c r="Z12" s="42" t="s">
        <v>116</v>
      </c>
      <c r="AA12" s="42" t="s">
        <v>117</v>
      </c>
      <c r="AB12" s="42" t="s">
        <v>118</v>
      </c>
      <c r="AC12" s="114" t="s">
        <v>119</v>
      </c>
      <c r="AD12" s="114" t="s">
        <v>120</v>
      </c>
      <c r="AE12" s="114" t="s">
        <v>121</v>
      </c>
      <c r="AF12" s="114" t="s">
        <v>122</v>
      </c>
      <c r="AG12" s="114" t="s">
        <v>123</v>
      </c>
      <c r="AH12" s="42" t="s">
        <v>124</v>
      </c>
      <c r="AI12" s="42" t="s">
        <v>125</v>
      </c>
      <c r="AJ12" s="42" t="s">
        <v>114</v>
      </c>
      <c r="AK12" s="42" t="s">
        <v>115</v>
      </c>
      <c r="AL12" s="42" t="s">
        <v>116</v>
      </c>
      <c r="AM12" s="42" t="s">
        <v>117</v>
      </c>
      <c r="AN12" s="42" t="s">
        <v>118</v>
      </c>
      <c r="AO12" s="114" t="s">
        <v>119</v>
      </c>
      <c r="AP12" s="114" t="s">
        <v>120</v>
      </c>
      <c r="AQ12" s="114" t="s">
        <v>121</v>
      </c>
      <c r="AR12" s="114" t="s">
        <v>122</v>
      </c>
      <c r="AS12" s="114" t="s">
        <v>123</v>
      </c>
      <c r="AT12" s="42" t="s">
        <v>124</v>
      </c>
    </row>
    <row r="13" spans="1:46" ht="15">
      <c r="B13" s="107" t="s">
        <v>73</v>
      </c>
      <c r="C13" s="13" t="s">
        <v>66</v>
      </c>
      <c r="D13" s="14">
        <v>100</v>
      </c>
      <c r="E13" s="15">
        <f>(45*10)</f>
        <v>450</v>
      </c>
      <c r="F13" s="16">
        <f>C$7</f>
        <v>100</v>
      </c>
      <c r="G13" s="15">
        <f>D13*E13/F13</f>
        <v>450</v>
      </c>
      <c r="H13" s="16">
        <f>G13*F13</f>
        <v>45000</v>
      </c>
      <c r="K13" s="179"/>
      <c r="S13" s="210"/>
      <c r="T13" s="216"/>
      <c r="AJ13" s="169"/>
      <c r="AK13" s="169"/>
      <c r="AL13" s="169"/>
      <c r="AM13" s="169"/>
      <c r="AN13" s="169"/>
      <c r="AO13" s="170"/>
      <c r="AT13" s="177"/>
    </row>
    <row r="14" spans="1:46">
      <c r="B14" s="215" t="s">
        <v>154</v>
      </c>
      <c r="C14" s="211"/>
      <c r="D14" s="212"/>
      <c r="E14" s="213"/>
      <c r="F14" s="214"/>
      <c r="G14" s="213"/>
      <c r="H14" s="214"/>
      <c r="K14" s="179"/>
      <c r="S14" s="210"/>
      <c r="AJ14" s="169"/>
      <c r="AK14" s="169"/>
      <c r="AL14" s="169"/>
      <c r="AM14" s="169"/>
      <c r="AN14" s="169"/>
      <c r="AO14" s="170"/>
      <c r="AT14" s="177"/>
    </row>
    <row r="15" spans="1:46" ht="18.600000000000001" customHeight="1" thickBot="1">
      <c r="B15" s="43" t="s">
        <v>51</v>
      </c>
      <c r="C15" s="43"/>
      <c r="D15" s="43"/>
      <c r="E15" s="43"/>
      <c r="F15" s="43"/>
      <c r="G15" s="44">
        <f>G13</f>
        <v>450</v>
      </c>
      <c r="H15" s="45">
        <f>H13</f>
        <v>45000</v>
      </c>
      <c r="K15" s="179"/>
      <c r="AJ15" s="169"/>
      <c r="AK15" s="169"/>
      <c r="AL15" s="169"/>
      <c r="AM15" s="169"/>
      <c r="AN15" s="169"/>
      <c r="AO15" s="170"/>
      <c r="AT15" s="177"/>
    </row>
    <row r="16" spans="1:46" ht="18.600000000000001" customHeight="1" thickTop="1">
      <c r="B16" s="17"/>
      <c r="E16" s="12"/>
      <c r="F16" s="18"/>
      <c r="G16" s="12"/>
      <c r="H16" s="18"/>
      <c r="K16" s="179"/>
      <c r="AJ16" s="169"/>
      <c r="AK16" s="169"/>
      <c r="AL16" s="169"/>
      <c r="AM16" s="169"/>
      <c r="AN16" s="169"/>
      <c r="AO16" s="170"/>
      <c r="AT16" s="177"/>
    </row>
    <row r="17" spans="2:46" ht="18.600000000000001" customHeight="1">
      <c r="B17" s="17"/>
      <c r="E17" s="12"/>
      <c r="F17" s="18"/>
      <c r="G17" s="12"/>
      <c r="H17" s="18"/>
      <c r="K17" s="179"/>
      <c r="AJ17" s="169"/>
      <c r="AK17" s="169"/>
      <c r="AL17" s="169"/>
      <c r="AM17" s="169"/>
      <c r="AN17" s="169"/>
      <c r="AO17" s="170"/>
      <c r="AT17" s="177"/>
    </row>
    <row r="18" spans="2:46" ht="15">
      <c r="B18" s="40" t="s">
        <v>76</v>
      </c>
      <c r="E18" s="12"/>
      <c r="F18" s="12"/>
      <c r="G18" s="12"/>
      <c r="K18" s="179"/>
      <c r="AJ18" s="169"/>
      <c r="AK18" s="169"/>
      <c r="AL18" s="169"/>
      <c r="AM18" s="169"/>
      <c r="AN18" s="169"/>
      <c r="AO18" s="170"/>
      <c r="AT18" s="177"/>
    </row>
    <row r="19" spans="2:46">
      <c r="E19" s="12"/>
      <c r="F19" s="12"/>
      <c r="G19" s="12"/>
      <c r="K19" s="179"/>
      <c r="AJ19" s="169"/>
      <c r="AK19" s="169"/>
      <c r="AL19" s="169"/>
      <c r="AM19" s="169"/>
      <c r="AN19" s="169"/>
      <c r="AO19" s="170"/>
      <c r="AT19" s="177"/>
    </row>
    <row r="20" spans="2:46" ht="15">
      <c r="B20" s="41" t="s">
        <v>75</v>
      </c>
      <c r="C20" s="41" t="s">
        <v>13</v>
      </c>
      <c r="D20" s="41" t="s">
        <v>44</v>
      </c>
      <c r="E20" s="41" t="s">
        <v>70</v>
      </c>
      <c r="F20" s="42" t="s">
        <v>53</v>
      </c>
      <c r="G20" s="41" t="s">
        <v>71</v>
      </c>
      <c r="H20" s="41" t="s">
        <v>15</v>
      </c>
      <c r="K20" s="179"/>
      <c r="AJ20" s="169"/>
      <c r="AK20" s="169"/>
      <c r="AL20" s="169"/>
      <c r="AM20" s="169"/>
      <c r="AN20" s="169"/>
      <c r="AO20" s="170"/>
      <c r="AT20" s="177"/>
    </row>
    <row r="21" spans="2:46">
      <c r="B21" s="19" t="s">
        <v>1</v>
      </c>
      <c r="C21" s="19" t="s">
        <v>19</v>
      </c>
      <c r="D21" s="20">
        <v>17</v>
      </c>
      <c r="E21" s="21">
        <v>300</v>
      </c>
      <c r="F21" s="22">
        <f>C$7</f>
        <v>100</v>
      </c>
      <c r="G21" s="21">
        <f>D21*E21/F21</f>
        <v>51</v>
      </c>
      <c r="H21" s="113">
        <f>G21*F21</f>
        <v>5100</v>
      </c>
      <c r="K21" s="179"/>
      <c r="S21" s="210"/>
      <c r="T21" s="216"/>
      <c r="U21" s="216"/>
      <c r="V21" s="216"/>
      <c r="W21" s="216"/>
      <c r="X21" s="216"/>
      <c r="Y21" s="216"/>
      <c r="Z21" s="216"/>
      <c r="AA21" s="216"/>
      <c r="AB21" s="216"/>
      <c r="AC21" s="216"/>
      <c r="AD21" s="216"/>
      <c r="AE21" s="216"/>
      <c r="AF21" s="216"/>
      <c r="AG21" s="216"/>
      <c r="AH21" s="216"/>
      <c r="AI21" s="216"/>
      <c r="AJ21" s="216"/>
      <c r="AK21" s="169"/>
      <c r="AL21" s="169"/>
      <c r="AM21" s="169"/>
      <c r="AN21" s="169"/>
      <c r="AO21" s="170"/>
      <c r="AT21" s="177"/>
    </row>
    <row r="22" spans="2:46" ht="15">
      <c r="B22" s="19" t="s">
        <v>128</v>
      </c>
      <c r="C22" s="19" t="s">
        <v>14</v>
      </c>
      <c r="D22" s="22">
        <f>'Suplemento y Heno'!$U$9</f>
        <v>27888</v>
      </c>
      <c r="E22" s="23">
        <v>3</v>
      </c>
      <c r="F22" s="22">
        <f>C$7</f>
        <v>100</v>
      </c>
      <c r="G22" s="21">
        <f>D22*E22/F22</f>
        <v>836.64</v>
      </c>
      <c r="H22" s="22">
        <f>G22*F22</f>
        <v>83664</v>
      </c>
      <c r="K22" s="179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169"/>
      <c r="AK22" s="169"/>
      <c r="AL22" s="169"/>
      <c r="AM22" s="169"/>
      <c r="AN22" s="169"/>
      <c r="AO22" s="170"/>
      <c r="AT22" s="177"/>
    </row>
    <row r="23" spans="2:46" ht="15">
      <c r="B23" s="19" t="s">
        <v>16</v>
      </c>
      <c r="C23" s="19" t="s">
        <v>21</v>
      </c>
      <c r="D23" s="112">
        <f>'Suplemento y Heno'!$U$13</f>
        <v>990.34090909090935</v>
      </c>
      <c r="E23" s="25">
        <v>30</v>
      </c>
      <c r="F23" s="22">
        <f>C$7</f>
        <v>100</v>
      </c>
      <c r="G23" s="21">
        <f>D23*E23/F23</f>
        <v>297.1022727272728</v>
      </c>
      <c r="H23" s="22"/>
      <c r="K23" s="179"/>
      <c r="S23" s="210"/>
      <c r="T23" s="216"/>
      <c r="U23" s="216"/>
      <c r="V23" s="210"/>
      <c r="W23" s="210"/>
      <c r="X23" s="210"/>
      <c r="Y23" s="210"/>
      <c r="Z23" s="210"/>
      <c r="AA23" s="210"/>
      <c r="AB23" s="210"/>
      <c r="AC23" s="216"/>
      <c r="AD23" s="216"/>
      <c r="AE23" s="216"/>
      <c r="AF23" s="216"/>
      <c r="AG23" s="216"/>
      <c r="AH23" s="210"/>
      <c r="AI23" s="210"/>
      <c r="AJ23" s="169"/>
      <c r="AK23" s="169"/>
      <c r="AL23" s="169"/>
      <c r="AM23" s="169"/>
      <c r="AN23" s="169"/>
      <c r="AO23" s="170"/>
      <c r="AT23" s="177"/>
    </row>
    <row r="24" spans="2:46" ht="15.75" thickBot="1">
      <c r="B24" s="43" t="s">
        <v>51</v>
      </c>
      <c r="C24" s="43"/>
      <c r="D24" s="43"/>
      <c r="E24" s="43"/>
      <c r="F24" s="43"/>
      <c r="G24" s="44"/>
      <c r="H24" s="44">
        <f>SUM(H21:H23)</f>
        <v>88764</v>
      </c>
      <c r="K24" s="179"/>
      <c r="AJ24" s="169"/>
      <c r="AK24" s="169"/>
      <c r="AL24" s="169"/>
      <c r="AM24" s="169"/>
      <c r="AN24" s="169"/>
      <c r="AO24" s="170"/>
      <c r="AT24" s="177"/>
    </row>
    <row r="25" spans="2:46" ht="15" thickTop="1">
      <c r="K25" s="179"/>
      <c r="AJ25" s="169"/>
      <c r="AK25" s="169"/>
      <c r="AL25" s="169"/>
      <c r="AM25" s="169"/>
      <c r="AN25" s="169"/>
      <c r="AO25" s="170"/>
      <c r="AT25" s="177"/>
    </row>
    <row r="26" spans="2:46">
      <c r="K26" s="179"/>
      <c r="AJ26" s="169"/>
      <c r="AK26" s="169"/>
      <c r="AL26" s="169"/>
      <c r="AM26" s="169"/>
      <c r="AN26" s="169"/>
      <c r="AO26" s="170"/>
      <c r="AT26" s="177"/>
    </row>
    <row r="27" spans="2:46" ht="15">
      <c r="B27" s="40" t="s">
        <v>77</v>
      </c>
      <c r="H27" s="11"/>
      <c r="K27" s="180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 s="169"/>
      <c r="AK27" s="169"/>
      <c r="AL27" s="169"/>
      <c r="AM27" s="169"/>
      <c r="AN27" s="169"/>
      <c r="AO27" s="170"/>
      <c r="AT27" s="177"/>
    </row>
    <row r="28" spans="2:46" ht="15">
      <c r="K28" s="180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 s="169"/>
      <c r="AK28" s="169"/>
      <c r="AL28" s="169"/>
      <c r="AM28" s="169"/>
      <c r="AN28" s="169"/>
      <c r="AO28" s="170"/>
      <c r="AT28" s="177"/>
    </row>
    <row r="29" spans="2:46" ht="15">
      <c r="B29" s="41" t="s">
        <v>150</v>
      </c>
      <c r="C29" s="41" t="s">
        <v>13</v>
      </c>
      <c r="D29" s="41" t="s">
        <v>44</v>
      </c>
      <c r="E29" s="41" t="s">
        <v>70</v>
      </c>
      <c r="F29" s="42" t="s">
        <v>53</v>
      </c>
      <c r="G29" s="41" t="s">
        <v>71</v>
      </c>
      <c r="H29" s="41" t="s">
        <v>15</v>
      </c>
      <c r="I29" s="104"/>
      <c r="J29" s="104"/>
      <c r="K29" s="180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 s="169"/>
      <c r="AK29" s="169"/>
      <c r="AL29" s="169"/>
      <c r="AM29" s="169"/>
      <c r="AN29" s="169"/>
      <c r="AO29" s="170"/>
      <c r="AT29" s="177"/>
    </row>
    <row r="30" spans="2:46">
      <c r="B30" s="19" t="s">
        <v>25</v>
      </c>
      <c r="C30" s="19" t="s">
        <v>3</v>
      </c>
      <c r="D30" s="28">
        <f>(16/24)*C7</f>
        <v>66.666666666666657</v>
      </c>
      <c r="E30" s="21">
        <v>3.5</v>
      </c>
      <c r="F30" s="22">
        <f t="shared" ref="F30:F39" si="0">C$7</f>
        <v>100</v>
      </c>
      <c r="G30" s="21">
        <f t="shared" ref="G30:G39" si="1">D30*E30/F30</f>
        <v>2.333333333333333</v>
      </c>
      <c r="H30" s="22">
        <f t="shared" ref="H30:H39" si="2">G30*F30</f>
        <v>233.33333333333331</v>
      </c>
      <c r="I30" s="110"/>
      <c r="J30" s="110"/>
      <c r="K30" s="179"/>
      <c r="S30" s="210"/>
      <c r="AE30" s="216"/>
      <c r="AJ30" s="169"/>
      <c r="AK30" s="169"/>
      <c r="AL30" s="169"/>
      <c r="AM30" s="169"/>
      <c r="AN30" s="169"/>
      <c r="AO30" s="170"/>
      <c r="AT30" s="177"/>
    </row>
    <row r="31" spans="2:46" ht="15">
      <c r="B31" s="19" t="s">
        <v>26</v>
      </c>
      <c r="C31" s="29" t="s">
        <v>3</v>
      </c>
      <c r="D31" s="30">
        <f>4*C7</f>
        <v>400</v>
      </c>
      <c r="E31" s="31">
        <v>2</v>
      </c>
      <c r="F31" s="22">
        <f t="shared" si="0"/>
        <v>100</v>
      </c>
      <c r="G31" s="21">
        <f t="shared" si="1"/>
        <v>8</v>
      </c>
      <c r="H31" s="22">
        <f t="shared" si="2"/>
        <v>800</v>
      </c>
      <c r="I31" s="110"/>
      <c r="J31" s="110"/>
      <c r="K31" s="179"/>
      <c r="S31" s="210"/>
      <c r="T31" s="117" t="s">
        <v>129</v>
      </c>
      <c r="U31" s="117" t="s">
        <v>129</v>
      </c>
      <c r="V31" s="117" t="s">
        <v>129</v>
      </c>
      <c r="W31" s="117" t="s">
        <v>129</v>
      </c>
      <c r="X31" s="117" t="s">
        <v>129</v>
      </c>
      <c r="AF31" s="216" t="s">
        <v>129</v>
      </c>
      <c r="AG31" s="117" t="s">
        <v>129</v>
      </c>
      <c r="AH31" s="117" t="s">
        <v>129</v>
      </c>
      <c r="AI31" s="117" t="s">
        <v>129</v>
      </c>
      <c r="AJ31" s="117" t="s">
        <v>129</v>
      </c>
      <c r="AK31" s="169"/>
      <c r="AL31" s="169"/>
      <c r="AM31" s="169"/>
      <c r="AN31" s="169"/>
      <c r="AO31" s="170"/>
      <c r="AT31" s="177"/>
    </row>
    <row r="32" spans="2:46" ht="15">
      <c r="B32" s="19" t="s">
        <v>27</v>
      </c>
      <c r="C32" s="29" t="s">
        <v>3</v>
      </c>
      <c r="D32" s="32">
        <f>(20/24)*C7</f>
        <v>83.333333333333343</v>
      </c>
      <c r="E32" s="31">
        <v>3.6</v>
      </c>
      <c r="F32" s="22">
        <f t="shared" si="0"/>
        <v>100</v>
      </c>
      <c r="G32" s="21">
        <f t="shared" si="1"/>
        <v>3.0000000000000004</v>
      </c>
      <c r="H32" s="22">
        <f t="shared" si="2"/>
        <v>300.00000000000006</v>
      </c>
      <c r="I32" s="110"/>
      <c r="J32" s="110"/>
      <c r="K32" s="179"/>
      <c r="S32" s="210"/>
      <c r="AF32" s="216"/>
      <c r="AJ32" s="169"/>
      <c r="AK32" s="169"/>
      <c r="AL32" s="169"/>
      <c r="AM32" s="169"/>
      <c r="AN32" s="169"/>
      <c r="AO32" s="170"/>
      <c r="AT32" s="177"/>
    </row>
    <row r="33" spans="2:46">
      <c r="B33" s="19" t="s">
        <v>7</v>
      </c>
      <c r="C33" s="19" t="s">
        <v>3</v>
      </c>
      <c r="D33" s="20">
        <f>4*C7</f>
        <v>400</v>
      </c>
      <c r="E33" s="21">
        <v>1.6</v>
      </c>
      <c r="F33" s="22">
        <f t="shared" si="0"/>
        <v>100</v>
      </c>
      <c r="G33" s="21">
        <f t="shared" si="1"/>
        <v>6.4</v>
      </c>
      <c r="H33" s="22">
        <f t="shared" si="2"/>
        <v>640</v>
      </c>
      <c r="I33" s="110"/>
      <c r="J33" s="110"/>
      <c r="K33" s="179"/>
      <c r="S33" s="210"/>
      <c r="AJ33" s="169"/>
      <c r="AK33" s="169"/>
      <c r="AL33" s="169"/>
      <c r="AM33" s="169"/>
      <c r="AN33" s="169"/>
      <c r="AO33" s="170"/>
      <c r="AT33" s="177"/>
    </row>
    <row r="34" spans="2:46">
      <c r="B34" s="19" t="s">
        <v>8</v>
      </c>
      <c r="C34" s="19" t="s">
        <v>4</v>
      </c>
      <c r="D34" s="20">
        <f>2*C7</f>
        <v>200</v>
      </c>
      <c r="E34" s="21">
        <v>1</v>
      </c>
      <c r="F34" s="22">
        <f t="shared" si="0"/>
        <v>100</v>
      </c>
      <c r="G34" s="21">
        <f t="shared" si="1"/>
        <v>2</v>
      </c>
      <c r="H34" s="22">
        <f t="shared" si="2"/>
        <v>200</v>
      </c>
      <c r="I34" s="110"/>
      <c r="J34" s="110"/>
      <c r="K34" s="179"/>
      <c r="S34" s="210"/>
      <c r="T34" s="216"/>
      <c r="AJ34" s="169"/>
      <c r="AK34" s="169"/>
      <c r="AL34" s="169"/>
      <c r="AM34" s="169"/>
      <c r="AN34" s="169"/>
      <c r="AO34" s="170"/>
      <c r="AT34" s="177"/>
    </row>
    <row r="35" spans="2:46">
      <c r="B35" s="19" t="s">
        <v>9</v>
      </c>
      <c r="C35" s="19" t="s">
        <v>5</v>
      </c>
      <c r="D35" s="20">
        <f>1*C7</f>
        <v>100</v>
      </c>
      <c r="E35" s="21">
        <v>10</v>
      </c>
      <c r="F35" s="22">
        <f t="shared" si="0"/>
        <v>100</v>
      </c>
      <c r="G35" s="21">
        <f t="shared" si="1"/>
        <v>10</v>
      </c>
      <c r="H35" s="22">
        <f t="shared" si="2"/>
        <v>1000</v>
      </c>
      <c r="I35" s="110"/>
      <c r="J35" s="110"/>
      <c r="K35" s="179"/>
      <c r="S35" s="210"/>
      <c r="T35" s="216"/>
      <c r="AJ35" s="169"/>
      <c r="AK35" s="169"/>
      <c r="AL35" s="169"/>
      <c r="AM35" s="169"/>
      <c r="AN35" s="169"/>
      <c r="AO35" s="170"/>
      <c r="AT35" s="177"/>
    </row>
    <row r="36" spans="2:46" ht="15">
      <c r="B36" s="19" t="s">
        <v>33</v>
      </c>
      <c r="C36" s="33" t="s">
        <v>13</v>
      </c>
      <c r="D36" s="24">
        <f>1*C7</f>
        <v>100</v>
      </c>
      <c r="E36" s="23">
        <v>2</v>
      </c>
      <c r="F36" s="22">
        <f t="shared" si="0"/>
        <v>100</v>
      </c>
      <c r="G36" s="21">
        <f t="shared" si="1"/>
        <v>2</v>
      </c>
      <c r="H36" s="22">
        <f t="shared" si="2"/>
        <v>200</v>
      </c>
      <c r="I36" s="110"/>
      <c r="J36" s="110"/>
      <c r="K36" s="179"/>
      <c r="S36" s="210"/>
      <c r="T36" s="216"/>
      <c r="AJ36" s="169"/>
      <c r="AK36" s="169"/>
      <c r="AL36" s="169"/>
      <c r="AM36" s="169"/>
      <c r="AN36" s="169"/>
      <c r="AO36" s="170"/>
      <c r="AT36" s="177"/>
    </row>
    <row r="37" spans="2:46">
      <c r="B37" s="19" t="s">
        <v>29</v>
      </c>
      <c r="C37" s="19" t="s">
        <v>4</v>
      </c>
      <c r="D37" s="20">
        <f>1*C7</f>
        <v>100</v>
      </c>
      <c r="E37" s="21">
        <f>(45/24)</f>
        <v>1.875</v>
      </c>
      <c r="F37" s="22">
        <f t="shared" si="0"/>
        <v>100</v>
      </c>
      <c r="G37" s="21">
        <f t="shared" si="1"/>
        <v>1.875</v>
      </c>
      <c r="H37" s="22">
        <f t="shared" si="2"/>
        <v>187.5</v>
      </c>
      <c r="I37" s="110"/>
      <c r="J37" s="110"/>
      <c r="K37" s="179"/>
      <c r="AJ37" s="169"/>
      <c r="AK37" s="169"/>
      <c r="AL37" s="169"/>
      <c r="AM37" s="169"/>
      <c r="AN37" s="169"/>
      <c r="AO37" s="170"/>
      <c r="AT37" s="177"/>
    </row>
    <row r="38" spans="2:46">
      <c r="B38" s="19" t="s">
        <v>30</v>
      </c>
      <c r="C38" s="19" t="s">
        <v>3</v>
      </c>
      <c r="D38" s="20">
        <f>2*C7</f>
        <v>200</v>
      </c>
      <c r="E38" s="21">
        <f>(5/6)</f>
        <v>0.83333333333333337</v>
      </c>
      <c r="F38" s="22">
        <f t="shared" si="0"/>
        <v>100</v>
      </c>
      <c r="G38" s="21">
        <f t="shared" si="1"/>
        <v>1.666666666666667</v>
      </c>
      <c r="H38" s="22">
        <f t="shared" si="2"/>
        <v>166.66666666666669</v>
      </c>
      <c r="I38" s="110"/>
      <c r="J38" s="110"/>
      <c r="K38" s="179"/>
      <c r="AJ38" s="169"/>
      <c r="AK38" s="169"/>
      <c r="AL38" s="169"/>
      <c r="AM38" s="169"/>
      <c r="AN38" s="169"/>
      <c r="AO38" s="170"/>
      <c r="AT38" s="177"/>
    </row>
    <row r="39" spans="2:46">
      <c r="B39" s="19" t="s">
        <v>31</v>
      </c>
      <c r="C39" s="19" t="s">
        <v>3</v>
      </c>
      <c r="D39" s="20">
        <f>2*C7</f>
        <v>200</v>
      </c>
      <c r="E39" s="21">
        <v>2</v>
      </c>
      <c r="F39" s="22">
        <f t="shared" si="0"/>
        <v>100</v>
      </c>
      <c r="G39" s="21">
        <f t="shared" si="1"/>
        <v>4</v>
      </c>
      <c r="H39" s="22">
        <f t="shared" si="2"/>
        <v>400</v>
      </c>
      <c r="K39" s="181"/>
      <c r="AJ39" s="169"/>
      <c r="AK39" s="169"/>
      <c r="AL39" s="169"/>
      <c r="AM39" s="169"/>
      <c r="AN39" s="169"/>
      <c r="AO39" s="170"/>
      <c r="AT39" s="177"/>
    </row>
    <row r="40" spans="2:46" ht="15.75" thickBot="1">
      <c r="B40" s="43" t="s">
        <v>51</v>
      </c>
      <c r="C40" s="43"/>
      <c r="D40" s="43"/>
      <c r="E40" s="43"/>
      <c r="F40" s="43"/>
      <c r="G40" s="44">
        <f>SUM(G35:G39)</f>
        <v>19.541666666666668</v>
      </c>
      <c r="H40" s="44">
        <f>SUM(H30:H39)</f>
        <v>4127.5</v>
      </c>
      <c r="K40" s="182"/>
      <c r="AJ40" s="169"/>
      <c r="AK40" s="169"/>
      <c r="AL40" s="169"/>
      <c r="AM40" s="169"/>
      <c r="AN40" s="169"/>
      <c r="AO40" s="170"/>
      <c r="AT40" s="177"/>
    </row>
    <row r="41" spans="2:46" ht="15.75" thickTop="1">
      <c r="E41" s="27"/>
      <c r="F41" s="27"/>
      <c r="K41" s="182"/>
      <c r="AJ41" s="169"/>
      <c r="AK41" s="169"/>
      <c r="AL41" s="169"/>
      <c r="AM41" s="169"/>
      <c r="AN41" s="169"/>
      <c r="AO41" s="170"/>
      <c r="AT41" s="177"/>
    </row>
    <row r="42" spans="2:46" ht="15">
      <c r="E42" s="27"/>
      <c r="F42" s="27"/>
      <c r="K42" s="182"/>
      <c r="AJ42" s="169"/>
      <c r="AK42" s="169"/>
      <c r="AL42" s="169"/>
      <c r="AM42" s="169"/>
      <c r="AN42" s="169"/>
      <c r="AO42" s="170"/>
      <c r="AT42" s="177"/>
    </row>
    <row r="43" spans="2:46" ht="15">
      <c r="B43" s="40" t="s">
        <v>78</v>
      </c>
      <c r="H43" s="11"/>
      <c r="K43" s="182"/>
      <c r="AJ43" s="169"/>
      <c r="AK43" s="169"/>
      <c r="AL43" s="169"/>
      <c r="AM43" s="169"/>
      <c r="AN43" s="169"/>
      <c r="AO43" s="170"/>
      <c r="AT43" s="177"/>
    </row>
    <row r="44" spans="2:46" ht="15">
      <c r="K44" s="182"/>
      <c r="AJ44" s="169"/>
      <c r="AK44" s="169"/>
      <c r="AL44" s="169"/>
      <c r="AM44" s="169"/>
      <c r="AN44" s="169"/>
      <c r="AO44" s="170"/>
      <c r="AT44" s="177"/>
    </row>
    <row r="45" spans="2:46" ht="15">
      <c r="B45" s="41" t="s">
        <v>69</v>
      </c>
      <c r="C45" s="41" t="s">
        <v>13</v>
      </c>
      <c r="D45" s="41" t="s">
        <v>44</v>
      </c>
      <c r="E45" s="41" t="s">
        <v>70</v>
      </c>
      <c r="F45" s="42" t="s">
        <v>53</v>
      </c>
      <c r="G45" s="41" t="s">
        <v>71</v>
      </c>
      <c r="H45" s="41" t="s">
        <v>15</v>
      </c>
      <c r="K45" s="182"/>
      <c r="AJ45" s="169"/>
      <c r="AK45" s="169"/>
      <c r="AL45" s="169"/>
      <c r="AM45" s="169"/>
      <c r="AN45" s="169"/>
      <c r="AO45" s="170"/>
      <c r="AT45" s="177"/>
    </row>
    <row r="46" spans="2:46" ht="15">
      <c r="B46" s="19" t="s">
        <v>54</v>
      </c>
      <c r="C46" s="26" t="s">
        <v>66</v>
      </c>
      <c r="D46" s="103">
        <f>C$7</f>
        <v>100</v>
      </c>
      <c r="E46" s="103">
        <v>15</v>
      </c>
      <c r="F46" s="119">
        <f>C$7</f>
        <v>100</v>
      </c>
      <c r="G46" s="25">
        <f>D46*E46/F46</f>
        <v>15</v>
      </c>
      <c r="H46" s="119">
        <f>G46*F46</f>
        <v>1500</v>
      </c>
      <c r="K46" s="180"/>
      <c r="AJ46" s="216"/>
      <c r="AK46" s="169"/>
      <c r="AL46" s="169"/>
      <c r="AM46" s="169"/>
      <c r="AN46" s="169"/>
      <c r="AO46" s="170"/>
      <c r="AT46" s="177"/>
    </row>
    <row r="47" spans="2:46" ht="15">
      <c r="B47" s="19" t="s">
        <v>10</v>
      </c>
      <c r="C47" s="26" t="s">
        <v>66</v>
      </c>
      <c r="D47" s="103">
        <f t="shared" ref="D47" si="3">C$7</f>
        <v>100</v>
      </c>
      <c r="E47" s="103">
        <v>20</v>
      </c>
      <c r="F47" s="119">
        <f t="shared" ref="F47" si="4">C$7</f>
        <v>100</v>
      </c>
      <c r="G47" s="25">
        <f t="shared" ref="G47" si="5">D47*E47/F47</f>
        <v>20</v>
      </c>
      <c r="H47" s="119">
        <f>G47*F47</f>
        <v>2000</v>
      </c>
      <c r="K47" s="180"/>
      <c r="AJ47" s="216"/>
      <c r="AK47" s="169"/>
      <c r="AL47" s="169"/>
      <c r="AM47" s="169"/>
      <c r="AN47" s="169"/>
      <c r="AO47" s="170"/>
      <c r="AT47" s="177"/>
    </row>
    <row r="48" spans="2:46" ht="15">
      <c r="B48" s="33"/>
      <c r="C48" s="33"/>
      <c r="D48" s="24"/>
      <c r="E48" s="24"/>
      <c r="F48" s="120"/>
      <c r="G48" s="23"/>
      <c r="H48" s="120"/>
      <c r="K48" s="180"/>
      <c r="AJ48" s="169"/>
      <c r="AK48" s="169"/>
      <c r="AL48" s="169"/>
      <c r="AM48" s="169"/>
      <c r="AN48" s="169"/>
      <c r="AO48" s="170"/>
      <c r="AT48" s="177"/>
    </row>
    <row r="49" spans="2:46" ht="15.75" thickBot="1">
      <c r="B49" s="43" t="s">
        <v>51</v>
      </c>
      <c r="C49" s="43"/>
      <c r="D49" s="43"/>
      <c r="E49" s="43"/>
      <c r="F49" s="43"/>
      <c r="G49" s="44">
        <f>SUM(G46:G48)</f>
        <v>35</v>
      </c>
      <c r="H49" s="44">
        <f>SUM(H46:H47)</f>
        <v>3500</v>
      </c>
      <c r="K49" s="180"/>
      <c r="AJ49" s="169"/>
      <c r="AK49" s="169"/>
      <c r="AL49" s="169"/>
      <c r="AM49" s="169"/>
      <c r="AN49" s="169"/>
      <c r="AO49" s="170"/>
      <c r="AT49" s="177"/>
    </row>
    <row r="50" spans="2:46" ht="15" thickTop="1">
      <c r="K50" s="179"/>
      <c r="AJ50" s="169"/>
      <c r="AK50" s="169"/>
      <c r="AL50" s="169"/>
      <c r="AM50" s="169"/>
      <c r="AN50" s="169"/>
      <c r="AO50" s="170"/>
      <c r="AT50" s="177"/>
    </row>
    <row r="51" spans="2:46">
      <c r="K51" s="179"/>
      <c r="AJ51" s="169"/>
      <c r="AK51" s="169"/>
      <c r="AL51" s="169"/>
      <c r="AM51" s="169"/>
      <c r="AN51" s="169"/>
      <c r="AO51" s="170"/>
      <c r="AT51" s="177"/>
    </row>
    <row r="52" spans="2:46" ht="15.75" thickBot="1">
      <c r="B52" s="56" t="s">
        <v>96</v>
      </c>
      <c r="C52" s="57"/>
      <c r="D52" s="58"/>
      <c r="E52" s="58"/>
      <c r="F52" s="58"/>
      <c r="G52" s="58"/>
      <c r="H52" s="59">
        <f>H15+H24+H40+H49</f>
        <v>141391.5</v>
      </c>
      <c r="K52" s="179"/>
      <c r="AJ52" s="169"/>
      <c r="AK52" s="169"/>
      <c r="AL52" s="169"/>
      <c r="AM52" s="169"/>
      <c r="AN52" s="169"/>
      <c r="AO52" s="170"/>
      <c r="AT52" s="177"/>
    </row>
    <row r="53" spans="2:46" ht="15" thickTop="1">
      <c r="K53" s="179"/>
      <c r="AJ53" s="169"/>
      <c r="AK53" s="169"/>
      <c r="AL53" s="169"/>
      <c r="AM53" s="169"/>
      <c r="AN53" s="169"/>
      <c r="AO53" s="170"/>
      <c r="AT53" s="177"/>
    </row>
    <row r="54" spans="2:46">
      <c r="K54" s="179"/>
      <c r="AJ54" s="169"/>
      <c r="AK54" s="169"/>
      <c r="AL54" s="169"/>
      <c r="AM54" s="169"/>
      <c r="AN54" s="169"/>
      <c r="AO54" s="170"/>
      <c r="AT54" s="177"/>
    </row>
    <row r="55" spans="2:46" ht="15">
      <c r="B55" s="40" t="s">
        <v>148</v>
      </c>
      <c r="K55" s="179"/>
      <c r="AJ55" s="169"/>
      <c r="AK55" s="169"/>
      <c r="AL55" s="169"/>
      <c r="AM55" s="169"/>
      <c r="AN55" s="169"/>
      <c r="AO55" s="170"/>
      <c r="AT55" s="177"/>
    </row>
    <row r="56" spans="2:46" ht="15">
      <c r="B56" s="41" t="s">
        <v>151</v>
      </c>
      <c r="H56" s="41" t="s">
        <v>15</v>
      </c>
      <c r="K56" s="179"/>
      <c r="AJ56" s="169"/>
      <c r="AK56" s="169"/>
      <c r="AL56" s="169"/>
      <c r="AM56" s="169"/>
      <c r="AN56" s="169"/>
      <c r="AO56" s="170"/>
      <c r="AT56" s="177"/>
    </row>
    <row r="57" spans="2:46">
      <c r="B57" s="9" t="s">
        <v>86</v>
      </c>
      <c r="H57" s="167">
        <v>20400</v>
      </c>
      <c r="K57" s="179"/>
      <c r="S57" s="210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169"/>
      <c r="AL57" s="169"/>
      <c r="AM57" s="169"/>
      <c r="AN57" s="169"/>
      <c r="AO57" s="170"/>
      <c r="AT57" s="177"/>
    </row>
    <row r="58" spans="2:46">
      <c r="B58" s="9" t="s">
        <v>94</v>
      </c>
      <c r="H58" s="167">
        <v>34000</v>
      </c>
      <c r="K58" s="179"/>
      <c r="S58" s="210"/>
      <c r="T58" s="216"/>
      <c r="U58" s="216"/>
      <c r="V58" s="216"/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169"/>
      <c r="AL58" s="169"/>
      <c r="AM58" s="169"/>
      <c r="AN58" s="169"/>
      <c r="AO58" s="170"/>
      <c r="AT58" s="177"/>
    </row>
    <row r="59" spans="2:46">
      <c r="B59" s="9" t="s">
        <v>80</v>
      </c>
      <c r="H59" s="167">
        <v>31261.111111111113</v>
      </c>
      <c r="K59" s="179"/>
      <c r="S59" s="210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216"/>
      <c r="AI59" s="216"/>
      <c r="AJ59" s="216"/>
      <c r="AK59" s="169"/>
      <c r="AL59" s="169"/>
      <c r="AM59" s="169"/>
      <c r="AN59" s="169"/>
      <c r="AO59" s="170"/>
      <c r="AT59" s="177"/>
    </row>
    <row r="60" spans="2:46" ht="15.75" thickBot="1">
      <c r="B60" s="43" t="s">
        <v>149</v>
      </c>
      <c r="C60" s="43"/>
      <c r="D60" s="43"/>
      <c r="E60" s="43"/>
      <c r="F60" s="43"/>
      <c r="G60" s="44"/>
      <c r="H60" s="168">
        <f>SUM(H57:H59)</f>
        <v>85661.111111111109</v>
      </c>
      <c r="K60" s="179"/>
      <c r="AJ60" s="169"/>
      <c r="AK60" s="169"/>
      <c r="AL60" s="169"/>
      <c r="AM60" s="169"/>
      <c r="AN60" s="169"/>
      <c r="AO60" s="170"/>
      <c r="AT60" s="177"/>
    </row>
    <row r="61" spans="2:46" ht="15" thickTop="1">
      <c r="K61" s="179"/>
      <c r="AJ61" s="169"/>
      <c r="AK61" s="169"/>
      <c r="AL61" s="169"/>
      <c r="AM61" s="169"/>
      <c r="AN61" s="169"/>
      <c r="AO61" s="170"/>
      <c r="AT61" s="177"/>
    </row>
    <row r="62" spans="2:46">
      <c r="K62" s="179"/>
      <c r="AJ62" s="169"/>
      <c r="AK62" s="169"/>
      <c r="AL62" s="169"/>
      <c r="AM62" s="169"/>
      <c r="AN62" s="169"/>
      <c r="AO62" s="170"/>
      <c r="AT62" s="177"/>
    </row>
    <row r="63" spans="2:46">
      <c r="K63" s="179"/>
      <c r="AJ63" s="169"/>
      <c r="AK63" s="169"/>
      <c r="AL63" s="169"/>
      <c r="AM63" s="169"/>
      <c r="AN63" s="169"/>
      <c r="AO63" s="170"/>
      <c r="AT63" s="177"/>
    </row>
    <row r="64" spans="2:46">
      <c r="K64" s="183"/>
      <c r="L64" s="184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AJ64" s="169"/>
      <c r="AK64" s="169"/>
      <c r="AL64" s="169"/>
      <c r="AM64" s="169"/>
      <c r="AN64" s="169"/>
      <c r="AO64" s="170"/>
      <c r="AT64" s="177"/>
    </row>
    <row r="65" spans="2:46" s="17" customFormat="1" ht="21" customHeight="1" thickBot="1">
      <c r="B65" s="171" t="s">
        <v>106</v>
      </c>
      <c r="C65" s="171"/>
      <c r="D65" s="171"/>
      <c r="E65" s="171"/>
      <c r="F65" s="171"/>
      <c r="G65" s="172"/>
      <c r="H65" s="173">
        <f>H52+H60</f>
        <v>227052.61111111112</v>
      </c>
      <c r="I65" s="174"/>
      <c r="J65" s="174"/>
      <c r="K65" s="175"/>
      <c r="L65" s="176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5"/>
      <c r="AP65" s="175"/>
      <c r="AQ65" s="175"/>
      <c r="AR65" s="175"/>
      <c r="AS65" s="175"/>
      <c r="AT65" s="178"/>
    </row>
    <row r="66" spans="2:46" ht="15" thickTop="1">
      <c r="H66" s="111"/>
    </row>
  </sheetData>
  <mergeCells count="5">
    <mergeCell ref="AI11:AT11"/>
    <mergeCell ref="B4:G4"/>
    <mergeCell ref="K11:V11"/>
    <mergeCell ref="W11:AH11"/>
    <mergeCell ref="K4:P4"/>
  </mergeCells>
  <phoneticPr fontId="25" type="noConversion"/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E8E7-91C9-408F-9A2E-C7EA35A496FC}">
  <sheetPr>
    <tabColor rgb="FFFF0000"/>
  </sheetPr>
  <dimension ref="A2:AT50"/>
  <sheetViews>
    <sheetView showGridLines="0" topLeftCell="A41" zoomScale="85" zoomScaleNormal="85" workbookViewId="0">
      <selection activeCell="G23" sqref="G23"/>
    </sheetView>
  </sheetViews>
  <sheetFormatPr defaultColWidth="10.85546875" defaultRowHeight="14.25"/>
  <cols>
    <col min="1" max="1" width="3.42578125" style="9" customWidth="1"/>
    <col min="2" max="2" width="49" style="9" customWidth="1"/>
    <col min="3" max="3" width="15" style="9" customWidth="1"/>
    <col min="4" max="4" width="11.85546875" style="10" customWidth="1"/>
    <col min="5" max="6" width="15" style="10" customWidth="1"/>
    <col min="7" max="7" width="17.5703125" style="10" customWidth="1"/>
    <col min="8" max="8" width="21.42578125" style="9" customWidth="1"/>
    <col min="9" max="9" width="3.85546875" style="10" customWidth="1"/>
    <col min="10" max="10" width="29.42578125" style="10" customWidth="1"/>
    <col min="11" max="11" width="13.140625" style="9" customWidth="1"/>
    <col min="12" max="12" width="13.140625" style="110" customWidth="1"/>
    <col min="13" max="40" width="13.140625" style="10" customWidth="1"/>
    <col min="41" max="42" width="10.85546875" style="9"/>
    <col min="43" max="46" width="11.7109375" style="9" customWidth="1"/>
    <col min="47" max="16384" width="10.85546875" style="9"/>
  </cols>
  <sheetData>
    <row r="2" spans="1:46" ht="23.25">
      <c r="B2" s="201" t="s">
        <v>67</v>
      </c>
      <c r="C2" s="201"/>
      <c r="D2" s="201"/>
      <c r="E2" s="201"/>
      <c r="F2" s="201"/>
      <c r="G2" s="201"/>
    </row>
    <row r="3" spans="1:46" ht="15">
      <c r="A3" s="11"/>
    </row>
    <row r="4" spans="1:46" ht="15">
      <c r="A4" s="11"/>
      <c r="B4" s="7" t="s">
        <v>56</v>
      </c>
      <c r="C4" s="39" t="s">
        <v>53</v>
      </c>
    </row>
    <row r="5" spans="1:46" ht="15">
      <c r="A5" s="11"/>
      <c r="B5" s="7" t="s">
        <v>68</v>
      </c>
      <c r="C5" s="39">
        <f>Supuestos!V16</f>
        <v>100</v>
      </c>
    </row>
    <row r="6" spans="1:46" ht="15">
      <c r="A6" s="11"/>
    </row>
    <row r="7" spans="1:46" ht="15">
      <c r="A7" s="11"/>
    </row>
    <row r="8" spans="1:46" ht="15">
      <c r="A8" s="11"/>
      <c r="B8" s="40" t="s">
        <v>72</v>
      </c>
      <c r="K8" s="115">
        <v>7</v>
      </c>
      <c r="L8" s="115">
        <v>8</v>
      </c>
      <c r="M8" s="115">
        <v>9</v>
      </c>
      <c r="N8" s="115">
        <v>10</v>
      </c>
      <c r="O8" s="115">
        <v>11</v>
      </c>
      <c r="P8" s="115">
        <v>12</v>
      </c>
      <c r="Q8" s="115">
        <v>13</v>
      </c>
      <c r="R8" s="115">
        <v>14</v>
      </c>
      <c r="S8" s="115">
        <v>15</v>
      </c>
      <c r="T8" s="115">
        <v>16</v>
      </c>
      <c r="U8" s="115">
        <v>17</v>
      </c>
      <c r="V8" s="115">
        <v>18</v>
      </c>
      <c r="W8" s="115">
        <v>19</v>
      </c>
      <c r="X8" s="115">
        <v>20</v>
      </c>
      <c r="Y8" s="115">
        <v>21</v>
      </c>
      <c r="Z8" s="115">
        <v>22</v>
      </c>
      <c r="AA8" s="115">
        <v>23</v>
      </c>
      <c r="AB8" s="115">
        <v>24</v>
      </c>
    </row>
    <row r="9" spans="1:46" ht="15">
      <c r="E9" s="12"/>
      <c r="F9" s="12"/>
      <c r="G9" s="12"/>
      <c r="K9" s="207">
        <v>2024</v>
      </c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>
        <v>2025</v>
      </c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>
        <v>2026</v>
      </c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</row>
    <row r="10" spans="1:46" ht="15">
      <c r="B10" s="41" t="s">
        <v>74</v>
      </c>
      <c r="C10" s="41" t="s">
        <v>13</v>
      </c>
      <c r="D10" s="41" t="s">
        <v>44</v>
      </c>
      <c r="E10" s="41" t="s">
        <v>70</v>
      </c>
      <c r="F10" s="42" t="s">
        <v>53</v>
      </c>
      <c r="G10" s="41" t="s">
        <v>71</v>
      </c>
      <c r="H10" s="41" t="s">
        <v>15</v>
      </c>
      <c r="K10" s="62" t="s">
        <v>113</v>
      </c>
      <c r="L10" s="41" t="s">
        <v>114</v>
      </c>
      <c r="M10" s="42" t="s">
        <v>115</v>
      </c>
      <c r="N10" s="42" t="s">
        <v>116</v>
      </c>
      <c r="O10" s="42" t="s">
        <v>117</v>
      </c>
      <c r="P10" s="42" t="s">
        <v>118</v>
      </c>
      <c r="Q10" s="114" t="s">
        <v>119</v>
      </c>
      <c r="R10" s="114" t="s">
        <v>120</v>
      </c>
      <c r="S10" s="114" t="s">
        <v>121</v>
      </c>
      <c r="T10" s="114" t="s">
        <v>122</v>
      </c>
      <c r="U10" s="114" t="s">
        <v>123</v>
      </c>
      <c r="V10" s="42" t="s">
        <v>124</v>
      </c>
      <c r="W10" s="42" t="s">
        <v>125</v>
      </c>
      <c r="X10" s="42" t="s">
        <v>114</v>
      </c>
      <c r="Y10" s="42" t="s">
        <v>115</v>
      </c>
      <c r="Z10" s="42" t="s">
        <v>116</v>
      </c>
      <c r="AA10" s="42" t="s">
        <v>117</v>
      </c>
      <c r="AB10" s="42" t="s">
        <v>118</v>
      </c>
      <c r="AC10" s="42" t="s">
        <v>119</v>
      </c>
      <c r="AD10" s="42" t="s">
        <v>120</v>
      </c>
      <c r="AE10" s="42" t="s">
        <v>121</v>
      </c>
      <c r="AF10" s="42" t="s">
        <v>122</v>
      </c>
      <c r="AG10" s="42" t="s">
        <v>123</v>
      </c>
      <c r="AH10" s="42" t="s">
        <v>124</v>
      </c>
      <c r="AI10" s="42" t="s">
        <v>125</v>
      </c>
      <c r="AJ10" s="42" t="s">
        <v>114</v>
      </c>
      <c r="AK10" s="42" t="s">
        <v>115</v>
      </c>
      <c r="AL10" s="42" t="s">
        <v>116</v>
      </c>
      <c r="AM10" s="42" t="s">
        <v>117</v>
      </c>
      <c r="AN10" s="42" t="s">
        <v>118</v>
      </c>
      <c r="AO10" s="42" t="s">
        <v>119</v>
      </c>
      <c r="AP10" s="42" t="s">
        <v>120</v>
      </c>
      <c r="AQ10" s="42" t="s">
        <v>121</v>
      </c>
      <c r="AR10" s="42" t="s">
        <v>122</v>
      </c>
      <c r="AS10" s="42" t="s">
        <v>123</v>
      </c>
      <c r="AT10" s="42" t="s">
        <v>124</v>
      </c>
    </row>
    <row r="11" spans="1:46" ht="15">
      <c r="B11" s="107" t="s">
        <v>73</v>
      </c>
      <c r="C11" s="13" t="s">
        <v>66</v>
      </c>
      <c r="D11" s="14">
        <v>100</v>
      </c>
      <c r="E11" s="15">
        <f>(45*10)</f>
        <v>450</v>
      </c>
      <c r="F11" s="16">
        <f>C$5</f>
        <v>100</v>
      </c>
      <c r="G11" s="15">
        <f>D11*E11/F11</f>
        <v>450</v>
      </c>
      <c r="H11" s="16">
        <f>G11*F11</f>
        <v>45000</v>
      </c>
    </row>
    <row r="12" spans="1:46" ht="18.600000000000001" customHeight="1" thickBot="1">
      <c r="B12" s="43" t="s">
        <v>51</v>
      </c>
      <c r="C12" s="43"/>
      <c r="D12" s="43"/>
      <c r="E12" s="43"/>
      <c r="F12" s="43"/>
      <c r="G12" s="44">
        <f>G11</f>
        <v>450</v>
      </c>
      <c r="H12" s="45">
        <f>H11</f>
        <v>45000</v>
      </c>
    </row>
    <row r="13" spans="1:46" ht="18.600000000000001" customHeight="1" thickTop="1">
      <c r="B13" s="17"/>
      <c r="E13" s="12"/>
      <c r="F13" s="18"/>
      <c r="G13" s="12"/>
      <c r="H13" s="18"/>
    </row>
    <row r="14" spans="1:46" ht="18.600000000000001" customHeight="1">
      <c r="B14" s="17"/>
      <c r="E14" s="12"/>
      <c r="F14" s="18"/>
      <c r="G14" s="12"/>
      <c r="H14" s="18"/>
    </row>
    <row r="15" spans="1:46" ht="15">
      <c r="B15" s="40" t="s">
        <v>76</v>
      </c>
      <c r="E15" s="12"/>
      <c r="F15" s="12"/>
      <c r="G15" s="12"/>
    </row>
    <row r="16" spans="1:46">
      <c r="E16" s="12"/>
      <c r="F16" s="12"/>
      <c r="G16" s="12"/>
    </row>
    <row r="17" spans="2:34" ht="15">
      <c r="B17" s="41" t="s">
        <v>75</v>
      </c>
      <c r="C17" s="41" t="s">
        <v>13</v>
      </c>
      <c r="D17" s="41" t="s">
        <v>44</v>
      </c>
      <c r="E17" s="41" t="s">
        <v>70</v>
      </c>
      <c r="F17" s="42" t="s">
        <v>53</v>
      </c>
      <c r="G17" s="41" t="s">
        <v>71</v>
      </c>
      <c r="H17" s="41" t="s">
        <v>15</v>
      </c>
    </row>
    <row r="18" spans="2:34">
      <c r="B18" s="19" t="s">
        <v>1</v>
      </c>
      <c r="C18" s="19" t="s">
        <v>19</v>
      </c>
      <c r="D18" s="20">
        <v>17</v>
      </c>
      <c r="E18" s="21">
        <v>300</v>
      </c>
      <c r="F18" s="22">
        <f>C$5</f>
        <v>100</v>
      </c>
      <c r="G18" s="21">
        <f>D18*E18/F18</f>
        <v>51</v>
      </c>
      <c r="H18" s="113">
        <f>G18*F18</f>
        <v>5100</v>
      </c>
    </row>
    <row r="19" spans="2:34" ht="15">
      <c r="B19" s="19" t="s">
        <v>128</v>
      </c>
      <c r="C19" s="19" t="s">
        <v>14</v>
      </c>
      <c r="D19" s="22">
        <f>'Suplemento y Heno'!$U$9</f>
        <v>27888</v>
      </c>
      <c r="E19" s="23">
        <v>3</v>
      </c>
      <c r="F19" s="22">
        <f>C$5</f>
        <v>100</v>
      </c>
      <c r="G19" s="21">
        <f>D19*E19/F19</f>
        <v>836.64</v>
      </c>
      <c r="H19" s="22"/>
    </row>
    <row r="20" spans="2:34" ht="15">
      <c r="B20" s="19" t="s">
        <v>16</v>
      </c>
      <c r="C20" s="19" t="s">
        <v>21</v>
      </c>
      <c r="D20" s="112">
        <f>SUM('Suplemento y Heno'!I13:M13)</f>
        <v>264.20454545454555</v>
      </c>
      <c r="E20" s="25">
        <v>30</v>
      </c>
      <c r="F20" s="22">
        <f>C$5</f>
        <v>100</v>
      </c>
      <c r="G20" s="21">
        <f>D20*E20/F20</f>
        <v>79.261363636363669</v>
      </c>
      <c r="H20" s="113">
        <f>G20*F20</f>
        <v>7926.1363636363667</v>
      </c>
    </row>
    <row r="21" spans="2:34" ht="15.75" thickBot="1">
      <c r="B21" s="43" t="s">
        <v>51</v>
      </c>
      <c r="C21" s="43"/>
      <c r="D21" s="43"/>
      <c r="E21" s="43"/>
      <c r="F21" s="43"/>
      <c r="G21" s="44"/>
      <c r="H21" s="44">
        <f>H18+H20</f>
        <v>13026.136363636368</v>
      </c>
    </row>
    <row r="22" spans="2:34" ht="15" thickTop="1"/>
    <row r="24" spans="2:34" ht="15">
      <c r="B24" s="40" t="s">
        <v>77</v>
      </c>
      <c r="H24" s="11"/>
      <c r="K24" s="115">
        <v>7</v>
      </c>
      <c r="L24" s="115">
        <v>8</v>
      </c>
      <c r="M24" s="115">
        <v>9</v>
      </c>
      <c r="N24" s="115">
        <v>10</v>
      </c>
      <c r="O24" s="115">
        <v>11</v>
      </c>
      <c r="P24" s="115">
        <v>12</v>
      </c>
      <c r="Q24" s="115">
        <v>13</v>
      </c>
      <c r="R24" s="115">
        <v>14</v>
      </c>
      <c r="S24" s="115">
        <v>15</v>
      </c>
      <c r="T24" s="115">
        <v>16</v>
      </c>
      <c r="U24" s="115">
        <v>17</v>
      </c>
      <c r="V24" s="115">
        <v>18</v>
      </c>
      <c r="W24" s="115">
        <v>19</v>
      </c>
      <c r="X24" s="115">
        <v>20</v>
      </c>
      <c r="Y24" s="115">
        <v>21</v>
      </c>
      <c r="Z24" s="115">
        <v>22</v>
      </c>
      <c r="AA24" s="115">
        <v>23</v>
      </c>
      <c r="AB24" s="115">
        <v>24</v>
      </c>
    </row>
    <row r="25" spans="2:34" ht="15">
      <c r="K25" s="207">
        <v>2024</v>
      </c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>
        <v>2025</v>
      </c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</row>
    <row r="26" spans="2:34" ht="15">
      <c r="B26" s="41" t="s">
        <v>75</v>
      </c>
      <c r="C26" s="41" t="s">
        <v>13</v>
      </c>
      <c r="D26" s="41" t="s">
        <v>44</v>
      </c>
      <c r="E26" s="41" t="s">
        <v>70</v>
      </c>
      <c r="F26" s="42" t="s">
        <v>53</v>
      </c>
      <c r="G26" s="41" t="s">
        <v>71</v>
      </c>
      <c r="H26" s="41" t="s">
        <v>15</v>
      </c>
      <c r="I26" s="104" t="s">
        <v>22</v>
      </c>
      <c r="K26" s="42" t="s">
        <v>113</v>
      </c>
      <c r="L26" s="42" t="s">
        <v>114</v>
      </c>
      <c r="M26" s="42" t="s">
        <v>115</v>
      </c>
      <c r="N26" s="42" t="s">
        <v>116</v>
      </c>
      <c r="O26" s="42" t="s">
        <v>117</v>
      </c>
      <c r="P26" s="42" t="s">
        <v>118</v>
      </c>
      <c r="Q26" s="42" t="s">
        <v>119</v>
      </c>
      <c r="R26" s="42" t="s">
        <v>120</v>
      </c>
      <c r="S26" s="42" t="s">
        <v>121</v>
      </c>
      <c r="T26" s="42" t="s">
        <v>122</v>
      </c>
      <c r="U26" s="42" t="s">
        <v>123</v>
      </c>
      <c r="V26" s="42" t="s">
        <v>124</v>
      </c>
      <c r="W26" s="42" t="s">
        <v>125</v>
      </c>
      <c r="X26" s="42" t="s">
        <v>114</v>
      </c>
      <c r="Y26" s="42" t="s">
        <v>115</v>
      </c>
      <c r="Z26" s="42" t="s">
        <v>116</v>
      </c>
      <c r="AA26" s="42" t="s">
        <v>117</v>
      </c>
      <c r="AB26" s="42" t="s">
        <v>118</v>
      </c>
      <c r="AC26" s="42" t="s">
        <v>119</v>
      </c>
      <c r="AD26" s="42" t="s">
        <v>120</v>
      </c>
      <c r="AE26" s="42" t="s">
        <v>121</v>
      </c>
      <c r="AF26" s="42" t="s">
        <v>122</v>
      </c>
      <c r="AG26" s="42" t="s">
        <v>123</v>
      </c>
      <c r="AH26" s="42" t="s">
        <v>124</v>
      </c>
    </row>
    <row r="27" spans="2:34">
      <c r="B27" s="19" t="s">
        <v>25</v>
      </c>
      <c r="C27" s="19" t="s">
        <v>3</v>
      </c>
      <c r="D27" s="28">
        <f>(16/24)*C5</f>
        <v>66.666666666666657</v>
      </c>
      <c r="E27" s="21">
        <v>3.5</v>
      </c>
      <c r="F27" s="22">
        <f t="shared" ref="F27:F36" si="0">C$5</f>
        <v>100</v>
      </c>
      <c r="G27" s="21">
        <f t="shared" ref="G27:G36" si="1">D27*E27/F27</f>
        <v>2.333333333333333</v>
      </c>
      <c r="H27" s="22">
        <f t="shared" ref="H27:H36" si="2">G27*F27</f>
        <v>233.33333333333331</v>
      </c>
      <c r="I27" s="110" t="s">
        <v>23</v>
      </c>
      <c r="S27" s="116"/>
    </row>
    <row r="28" spans="2:34" ht="15">
      <c r="B28" s="29" t="s">
        <v>26</v>
      </c>
      <c r="C28" s="29" t="s">
        <v>3</v>
      </c>
      <c r="D28" s="30">
        <f>4*C5</f>
        <v>400</v>
      </c>
      <c r="E28" s="31">
        <v>2</v>
      </c>
      <c r="F28" s="22">
        <f t="shared" si="0"/>
        <v>100</v>
      </c>
      <c r="G28" s="21">
        <f t="shared" si="1"/>
        <v>8</v>
      </c>
      <c r="H28" s="22">
        <f t="shared" si="2"/>
        <v>800</v>
      </c>
      <c r="I28" s="110" t="s">
        <v>24</v>
      </c>
      <c r="R28" s="116"/>
      <c r="T28" s="117" t="s">
        <v>129</v>
      </c>
      <c r="U28" s="117" t="s">
        <v>129</v>
      </c>
      <c r="V28" s="117" t="s">
        <v>129</v>
      </c>
      <c r="W28" s="117" t="s">
        <v>129</v>
      </c>
      <c r="X28" s="117" t="s">
        <v>129</v>
      </c>
    </row>
    <row r="29" spans="2:34" ht="15">
      <c r="B29" s="29" t="s">
        <v>27</v>
      </c>
      <c r="C29" s="29" t="s">
        <v>3</v>
      </c>
      <c r="D29" s="32">
        <f>(20/24)*C5</f>
        <v>83.333333333333343</v>
      </c>
      <c r="E29" s="31">
        <v>3.6</v>
      </c>
      <c r="F29" s="22">
        <f t="shared" si="0"/>
        <v>100</v>
      </c>
      <c r="G29" s="21">
        <f t="shared" si="1"/>
        <v>3.0000000000000004</v>
      </c>
      <c r="H29" s="22">
        <f t="shared" si="2"/>
        <v>300.00000000000006</v>
      </c>
      <c r="I29" s="110" t="s">
        <v>24</v>
      </c>
      <c r="Y29" s="116"/>
    </row>
    <row r="30" spans="2:34">
      <c r="B30" s="19" t="s">
        <v>7</v>
      </c>
      <c r="C30" s="19" t="s">
        <v>3</v>
      </c>
      <c r="D30" s="20">
        <f>4*C5</f>
        <v>400</v>
      </c>
      <c r="E30" s="21">
        <v>1.6</v>
      </c>
      <c r="F30" s="22">
        <f t="shared" si="0"/>
        <v>100</v>
      </c>
      <c r="G30" s="21">
        <f t="shared" si="1"/>
        <v>6.4</v>
      </c>
      <c r="H30" s="22">
        <f t="shared" si="2"/>
        <v>640</v>
      </c>
      <c r="I30" s="110" t="s">
        <v>23</v>
      </c>
    </row>
    <row r="31" spans="2:34">
      <c r="B31" s="19" t="s">
        <v>8</v>
      </c>
      <c r="C31" s="19" t="s">
        <v>4</v>
      </c>
      <c r="D31" s="20">
        <f>2*C5</f>
        <v>200</v>
      </c>
      <c r="E31" s="21">
        <v>1</v>
      </c>
      <c r="F31" s="22">
        <f t="shared" si="0"/>
        <v>100</v>
      </c>
      <c r="G31" s="21">
        <f t="shared" si="1"/>
        <v>2</v>
      </c>
      <c r="H31" s="22">
        <f t="shared" si="2"/>
        <v>200</v>
      </c>
      <c r="I31" s="110" t="s">
        <v>28</v>
      </c>
    </row>
    <row r="32" spans="2:34">
      <c r="B32" s="19" t="s">
        <v>9</v>
      </c>
      <c r="C32" s="19" t="s">
        <v>5</v>
      </c>
      <c r="D32" s="20">
        <f>1*C5</f>
        <v>100</v>
      </c>
      <c r="E32" s="21">
        <v>10</v>
      </c>
      <c r="F32" s="22">
        <f t="shared" si="0"/>
        <v>100</v>
      </c>
      <c r="G32" s="21">
        <f t="shared" si="1"/>
        <v>10</v>
      </c>
      <c r="H32" s="22">
        <f t="shared" si="2"/>
        <v>1000</v>
      </c>
      <c r="I32" s="110"/>
      <c r="K32" s="118"/>
    </row>
    <row r="33" spans="2:11" ht="15">
      <c r="B33" s="33" t="s">
        <v>33</v>
      </c>
      <c r="C33" s="33" t="s">
        <v>13</v>
      </c>
      <c r="D33" s="24">
        <f>1*C5</f>
        <v>100</v>
      </c>
      <c r="E33" s="23">
        <v>2</v>
      </c>
      <c r="F33" s="22">
        <f t="shared" si="0"/>
        <v>100</v>
      </c>
      <c r="G33" s="21">
        <f t="shared" si="1"/>
        <v>2</v>
      </c>
      <c r="H33" s="22">
        <f t="shared" si="2"/>
        <v>200</v>
      </c>
      <c r="I33" s="110"/>
    </row>
    <row r="34" spans="2:11">
      <c r="B34" s="19" t="s">
        <v>29</v>
      </c>
      <c r="C34" s="19" t="s">
        <v>4</v>
      </c>
      <c r="D34" s="20">
        <f>1*C5</f>
        <v>100</v>
      </c>
      <c r="E34" s="21">
        <f>(45/24)</f>
        <v>1.875</v>
      </c>
      <c r="F34" s="22">
        <f t="shared" si="0"/>
        <v>100</v>
      </c>
      <c r="G34" s="21">
        <f t="shared" si="1"/>
        <v>1.875</v>
      </c>
      <c r="H34" s="22">
        <f t="shared" si="2"/>
        <v>187.5</v>
      </c>
      <c r="I34" s="110" t="s">
        <v>23</v>
      </c>
    </row>
    <row r="35" spans="2:11">
      <c r="B35" s="19" t="s">
        <v>30</v>
      </c>
      <c r="C35" s="19" t="s">
        <v>3</v>
      </c>
      <c r="D35" s="20">
        <f>2*C5</f>
        <v>200</v>
      </c>
      <c r="E35" s="21">
        <f>(5/6)</f>
        <v>0.83333333333333337</v>
      </c>
      <c r="F35" s="22">
        <f t="shared" si="0"/>
        <v>100</v>
      </c>
      <c r="G35" s="21">
        <f t="shared" si="1"/>
        <v>1.666666666666667</v>
      </c>
      <c r="H35" s="22">
        <f t="shared" si="2"/>
        <v>166.66666666666669</v>
      </c>
      <c r="I35" s="110" t="s">
        <v>23</v>
      </c>
    </row>
    <row r="36" spans="2:11">
      <c r="B36" s="19" t="s">
        <v>31</v>
      </c>
      <c r="C36" s="19" t="s">
        <v>3</v>
      </c>
      <c r="D36" s="20">
        <f>2*C5</f>
        <v>200</v>
      </c>
      <c r="E36" s="21">
        <v>2</v>
      </c>
      <c r="F36" s="22">
        <f t="shared" si="0"/>
        <v>100</v>
      </c>
      <c r="G36" s="21">
        <f t="shared" si="1"/>
        <v>4</v>
      </c>
      <c r="H36" s="22">
        <f t="shared" si="2"/>
        <v>400</v>
      </c>
      <c r="K36" s="111"/>
    </row>
    <row r="37" spans="2:11" ht="15.75" thickBot="1">
      <c r="B37" s="43" t="s">
        <v>51</v>
      </c>
      <c r="C37" s="43"/>
      <c r="D37" s="43"/>
      <c r="E37" s="43"/>
      <c r="F37" s="43"/>
      <c r="G37" s="44">
        <f>SUM(G32:G36)</f>
        <v>19.541666666666668</v>
      </c>
      <c r="H37" s="44">
        <f>SUM(H27:H36)</f>
        <v>4127.5</v>
      </c>
      <c r="K37" s="109"/>
    </row>
    <row r="38" spans="2:11" ht="15.75" thickTop="1">
      <c r="E38" s="27"/>
      <c r="F38" s="27"/>
      <c r="K38" s="109"/>
    </row>
    <row r="39" spans="2:11" ht="15">
      <c r="E39" s="27"/>
      <c r="F39" s="27"/>
      <c r="K39" s="109"/>
    </row>
    <row r="40" spans="2:11" ht="15">
      <c r="B40" s="40" t="s">
        <v>78</v>
      </c>
      <c r="H40" s="11"/>
      <c r="K40" s="109"/>
    </row>
    <row r="41" spans="2:11" ht="15">
      <c r="K41" s="109"/>
    </row>
    <row r="42" spans="2:11" ht="15">
      <c r="B42" s="41" t="s">
        <v>69</v>
      </c>
      <c r="C42" s="41" t="s">
        <v>13</v>
      </c>
      <c r="D42" s="41" t="s">
        <v>44</v>
      </c>
      <c r="E42" s="41" t="s">
        <v>70</v>
      </c>
      <c r="F42" s="42" t="s">
        <v>53</v>
      </c>
      <c r="G42" s="41" t="s">
        <v>71</v>
      </c>
      <c r="H42" s="41" t="s">
        <v>15</v>
      </c>
      <c r="K42" s="109"/>
    </row>
    <row r="43" spans="2:11" ht="15">
      <c r="B43" s="26" t="s">
        <v>54</v>
      </c>
      <c r="C43" s="26" t="s">
        <v>66</v>
      </c>
      <c r="D43" s="103">
        <f>C$5</f>
        <v>100</v>
      </c>
      <c r="E43" s="103">
        <v>15</v>
      </c>
      <c r="F43" s="119">
        <f>C$5</f>
        <v>100</v>
      </c>
      <c r="G43" s="25">
        <f>D43*E43/F43</f>
        <v>15</v>
      </c>
      <c r="H43" s="119">
        <f>G43*F43</f>
        <v>1500</v>
      </c>
      <c r="K43"/>
    </row>
    <row r="44" spans="2:11" ht="15">
      <c r="B44" s="26" t="s">
        <v>10</v>
      </c>
      <c r="C44" s="26" t="s">
        <v>66</v>
      </c>
      <c r="D44" s="103">
        <f t="shared" ref="D44" si="3">C$5</f>
        <v>100</v>
      </c>
      <c r="E44" s="103">
        <v>20</v>
      </c>
      <c r="F44" s="119">
        <f t="shared" ref="F44" si="4">C$5</f>
        <v>100</v>
      </c>
      <c r="G44" s="25">
        <f t="shared" ref="G44" si="5">D44*E44/F44</f>
        <v>20</v>
      </c>
      <c r="H44" s="119">
        <f>G44*F44</f>
        <v>2000</v>
      </c>
      <c r="K44"/>
    </row>
    <row r="45" spans="2:11" ht="15">
      <c r="B45" s="33"/>
      <c r="C45" s="33"/>
      <c r="D45" s="24"/>
      <c r="E45" s="24"/>
      <c r="F45" s="120"/>
      <c r="G45" s="23"/>
      <c r="H45" s="120"/>
      <c r="K45"/>
    </row>
    <row r="46" spans="2:11" ht="15.75" thickBot="1">
      <c r="B46" s="43" t="s">
        <v>51</v>
      </c>
      <c r="C46" s="43"/>
      <c r="D46" s="43"/>
      <c r="E46" s="43"/>
      <c r="F46" s="43"/>
      <c r="G46" s="44">
        <f>SUM(G43:G45)</f>
        <v>35</v>
      </c>
      <c r="H46" s="44">
        <f>SUM(H43:H44)</f>
        <v>3500</v>
      </c>
      <c r="K46"/>
    </row>
    <row r="47" spans="2:11" ht="15" thickTop="1"/>
    <row r="49" spans="2:8" ht="15.75" thickBot="1">
      <c r="B49" s="56" t="s">
        <v>96</v>
      </c>
      <c r="C49" s="57"/>
      <c r="D49" s="58"/>
      <c r="E49" s="58"/>
      <c r="F49" s="58"/>
      <c r="G49" s="58"/>
      <c r="H49" s="59">
        <f>H12+H21+H37+H46</f>
        <v>65653.636363636368</v>
      </c>
    </row>
    <row r="50" spans="2:8" ht="15" thickTop="1"/>
  </sheetData>
  <mergeCells count="6">
    <mergeCell ref="B2:G2"/>
    <mergeCell ref="K9:V9"/>
    <mergeCell ref="W9:AH9"/>
    <mergeCell ref="AI9:AT9"/>
    <mergeCell ref="K25:V25"/>
    <mergeCell ref="W25:AH25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1B849-6AD8-4E29-AD6C-47426CE0D731}">
  <sheetPr>
    <tabColor rgb="FFFF0000"/>
  </sheetPr>
  <dimension ref="A2:AT50"/>
  <sheetViews>
    <sheetView showGridLines="0" topLeftCell="A35" zoomScale="85" zoomScaleNormal="85" workbookViewId="0">
      <selection activeCell="AA28" sqref="AA28"/>
    </sheetView>
  </sheetViews>
  <sheetFormatPr defaultColWidth="10.85546875" defaultRowHeight="14.25"/>
  <cols>
    <col min="1" max="1" width="3.42578125" style="9" customWidth="1"/>
    <col min="2" max="2" width="49" style="9" customWidth="1"/>
    <col min="3" max="3" width="15" style="9" customWidth="1"/>
    <col min="4" max="4" width="11.85546875" style="10" customWidth="1"/>
    <col min="5" max="6" width="15" style="10" customWidth="1"/>
    <col min="7" max="7" width="17.5703125" style="10" customWidth="1"/>
    <col min="8" max="8" width="21.42578125" style="9" customWidth="1"/>
    <col min="9" max="9" width="3.85546875" style="10" customWidth="1"/>
    <col min="10" max="10" width="29.42578125" style="10" customWidth="1"/>
    <col min="11" max="11" width="13.140625" style="9" customWidth="1"/>
    <col min="12" max="12" width="13.140625" style="110" customWidth="1"/>
    <col min="13" max="40" width="13.140625" style="10" customWidth="1"/>
    <col min="41" max="42" width="10.85546875" style="9"/>
    <col min="43" max="46" width="11.7109375" style="9" customWidth="1"/>
    <col min="47" max="16384" width="10.85546875" style="9"/>
  </cols>
  <sheetData>
    <row r="2" spans="1:46" ht="23.25">
      <c r="B2" s="201" t="s">
        <v>67</v>
      </c>
      <c r="C2" s="201"/>
      <c r="D2" s="201"/>
      <c r="E2" s="201"/>
      <c r="F2" s="201"/>
      <c r="G2" s="201"/>
    </row>
    <row r="3" spans="1:46" ht="15">
      <c r="A3" s="11"/>
    </row>
    <row r="4" spans="1:46" ht="15">
      <c r="A4" s="11"/>
      <c r="B4" s="7" t="s">
        <v>56</v>
      </c>
      <c r="C4" s="39" t="s">
        <v>53</v>
      </c>
    </row>
    <row r="5" spans="1:46" ht="15">
      <c r="A5" s="11"/>
      <c r="B5" s="7" t="s">
        <v>68</v>
      </c>
      <c r="C5" s="39">
        <f>Supuestos!V16</f>
        <v>100</v>
      </c>
    </row>
    <row r="6" spans="1:46" ht="15">
      <c r="A6" s="11"/>
    </row>
    <row r="7" spans="1:46" ht="15">
      <c r="A7" s="11"/>
    </row>
    <row r="8" spans="1:46" ht="15">
      <c r="A8" s="11"/>
      <c r="B8" s="40" t="s">
        <v>72</v>
      </c>
      <c r="K8" s="115">
        <v>7</v>
      </c>
      <c r="L8" s="115">
        <v>8</v>
      </c>
      <c r="M8" s="115">
        <v>9</v>
      </c>
      <c r="N8" s="115">
        <v>10</v>
      </c>
      <c r="O8" s="115">
        <v>11</v>
      </c>
      <c r="P8" s="115">
        <v>12</v>
      </c>
      <c r="Q8" s="115">
        <v>13</v>
      </c>
      <c r="R8" s="115">
        <v>14</v>
      </c>
      <c r="S8" s="115">
        <v>15</v>
      </c>
      <c r="T8" s="115">
        <v>16</v>
      </c>
      <c r="U8" s="115">
        <v>17</v>
      </c>
      <c r="V8" s="115">
        <v>18</v>
      </c>
      <c r="W8" s="115">
        <v>19</v>
      </c>
      <c r="X8" s="115">
        <v>20</v>
      </c>
      <c r="Y8" s="115">
        <v>21</v>
      </c>
      <c r="Z8" s="115">
        <v>22</v>
      </c>
      <c r="AA8" s="115">
        <v>23</v>
      </c>
      <c r="AB8" s="115">
        <v>24</v>
      </c>
    </row>
    <row r="9" spans="1:46" ht="15">
      <c r="E9" s="12"/>
      <c r="F9" s="12"/>
      <c r="G9" s="12"/>
      <c r="K9" s="207">
        <v>2024</v>
      </c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>
        <v>2025</v>
      </c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>
        <v>2026</v>
      </c>
      <c r="AJ9" s="207"/>
      <c r="AK9" s="207"/>
      <c r="AL9" s="207"/>
      <c r="AM9" s="207"/>
      <c r="AN9" s="207"/>
      <c r="AO9" s="207"/>
      <c r="AP9" s="207"/>
      <c r="AQ9" s="207"/>
      <c r="AR9" s="207"/>
      <c r="AS9" s="207"/>
      <c r="AT9" s="207"/>
    </row>
    <row r="10" spans="1:46" ht="15">
      <c r="B10" s="41" t="s">
        <v>74</v>
      </c>
      <c r="C10" s="41" t="s">
        <v>13</v>
      </c>
      <c r="D10" s="41" t="s">
        <v>44</v>
      </c>
      <c r="E10" s="41" t="s">
        <v>70</v>
      </c>
      <c r="F10" s="42" t="s">
        <v>53</v>
      </c>
      <c r="G10" s="41" t="s">
        <v>71</v>
      </c>
      <c r="H10" s="41" t="s">
        <v>15</v>
      </c>
      <c r="K10" s="62" t="s">
        <v>113</v>
      </c>
      <c r="L10" s="41" t="s">
        <v>114</v>
      </c>
      <c r="M10" s="42" t="s">
        <v>115</v>
      </c>
      <c r="N10" s="42" t="s">
        <v>116</v>
      </c>
      <c r="O10" s="42" t="s">
        <v>117</v>
      </c>
      <c r="P10" s="42" t="s">
        <v>118</v>
      </c>
      <c r="Q10" s="114" t="s">
        <v>119</v>
      </c>
      <c r="R10" s="114" t="s">
        <v>120</v>
      </c>
      <c r="S10" s="114" t="s">
        <v>121</v>
      </c>
      <c r="T10" s="114" t="s">
        <v>122</v>
      </c>
      <c r="U10" s="114" t="s">
        <v>123</v>
      </c>
      <c r="V10" s="42" t="s">
        <v>124</v>
      </c>
      <c r="W10" s="42" t="s">
        <v>125</v>
      </c>
      <c r="X10" s="42" t="s">
        <v>114</v>
      </c>
      <c r="Y10" s="42" t="s">
        <v>115</v>
      </c>
      <c r="Z10" s="42" t="s">
        <v>116</v>
      </c>
      <c r="AA10" s="42" t="s">
        <v>117</v>
      </c>
      <c r="AB10" s="42" t="s">
        <v>118</v>
      </c>
      <c r="AC10" s="42" t="s">
        <v>119</v>
      </c>
      <c r="AD10" s="42" t="s">
        <v>120</v>
      </c>
      <c r="AE10" s="42" t="s">
        <v>121</v>
      </c>
      <c r="AF10" s="42" t="s">
        <v>122</v>
      </c>
      <c r="AG10" s="42" t="s">
        <v>123</v>
      </c>
      <c r="AH10" s="42" t="s">
        <v>124</v>
      </c>
      <c r="AI10" s="42" t="s">
        <v>125</v>
      </c>
      <c r="AJ10" s="42" t="s">
        <v>114</v>
      </c>
      <c r="AK10" s="42" t="s">
        <v>115</v>
      </c>
      <c r="AL10" s="42" t="s">
        <v>116</v>
      </c>
      <c r="AM10" s="42" t="s">
        <v>117</v>
      </c>
      <c r="AN10" s="42" t="s">
        <v>118</v>
      </c>
      <c r="AO10" s="42" t="s">
        <v>119</v>
      </c>
      <c r="AP10" s="42" t="s">
        <v>120</v>
      </c>
      <c r="AQ10" s="42" t="s">
        <v>121</v>
      </c>
      <c r="AR10" s="42" t="s">
        <v>122</v>
      </c>
      <c r="AS10" s="42" t="s">
        <v>123</v>
      </c>
      <c r="AT10" s="42" t="s">
        <v>124</v>
      </c>
    </row>
    <row r="11" spans="1:46" ht="15">
      <c r="B11" s="107" t="s">
        <v>73</v>
      </c>
      <c r="C11" s="13" t="s">
        <v>66</v>
      </c>
      <c r="D11" s="14">
        <v>100</v>
      </c>
      <c r="E11" s="15">
        <f>(45*10)</f>
        <v>450</v>
      </c>
      <c r="F11" s="16">
        <f>C$5</f>
        <v>100</v>
      </c>
      <c r="G11" s="15">
        <f>D11*E11/F11</f>
        <v>450</v>
      </c>
      <c r="H11" s="16">
        <f>G11*F11</f>
        <v>45000</v>
      </c>
    </row>
    <row r="12" spans="1:46" ht="18.600000000000001" customHeight="1" thickBot="1">
      <c r="B12" s="43" t="s">
        <v>51</v>
      </c>
      <c r="C12" s="43"/>
      <c r="D12" s="43"/>
      <c r="E12" s="43"/>
      <c r="F12" s="43"/>
      <c r="G12" s="44">
        <f>G11</f>
        <v>450</v>
      </c>
      <c r="H12" s="45">
        <f>H11</f>
        <v>45000</v>
      </c>
    </row>
    <row r="13" spans="1:46" ht="18.600000000000001" customHeight="1" thickTop="1">
      <c r="B13" s="17"/>
      <c r="E13" s="12"/>
      <c r="F13" s="18"/>
      <c r="G13" s="12"/>
      <c r="H13" s="18"/>
    </row>
    <row r="14" spans="1:46" ht="18.600000000000001" customHeight="1">
      <c r="B14" s="17"/>
      <c r="E14" s="12"/>
      <c r="F14" s="18"/>
      <c r="G14" s="12"/>
      <c r="H14" s="18"/>
    </row>
    <row r="15" spans="1:46" ht="15">
      <c r="B15" s="40" t="s">
        <v>76</v>
      </c>
      <c r="E15" s="12"/>
      <c r="F15" s="12"/>
      <c r="G15" s="12"/>
    </row>
    <row r="16" spans="1:46">
      <c r="E16" s="12"/>
      <c r="F16" s="12"/>
      <c r="G16" s="12"/>
    </row>
    <row r="17" spans="2:34" ht="15">
      <c r="B17" s="41" t="s">
        <v>75</v>
      </c>
      <c r="C17" s="41" t="s">
        <v>13</v>
      </c>
      <c r="D17" s="41" t="s">
        <v>44</v>
      </c>
      <c r="E17" s="41" t="s">
        <v>70</v>
      </c>
      <c r="F17" s="42" t="s">
        <v>53</v>
      </c>
      <c r="G17" s="41" t="s">
        <v>71</v>
      </c>
      <c r="H17" s="41" t="s">
        <v>15</v>
      </c>
    </row>
    <row r="18" spans="2:34">
      <c r="B18" s="19" t="s">
        <v>1</v>
      </c>
      <c r="C18" s="19" t="s">
        <v>19</v>
      </c>
      <c r="D18" s="20">
        <v>17</v>
      </c>
      <c r="E18" s="21">
        <v>300</v>
      </c>
      <c r="F18" s="22">
        <f>C$5</f>
        <v>100</v>
      </c>
      <c r="G18" s="21">
        <f>D18*E18/F18</f>
        <v>51</v>
      </c>
      <c r="H18" s="113">
        <f>G18*F18</f>
        <v>5100</v>
      </c>
    </row>
    <row r="19" spans="2:34" ht="15">
      <c r="B19" s="19" t="s">
        <v>128</v>
      </c>
      <c r="C19" s="19" t="s">
        <v>14</v>
      </c>
      <c r="D19" s="22">
        <f>SUM('Suplemento y Heno'!I9:M9)</f>
        <v>7440.0000000000027</v>
      </c>
      <c r="E19" s="23">
        <v>3</v>
      </c>
      <c r="F19" s="22">
        <f>C$5</f>
        <v>100</v>
      </c>
      <c r="G19" s="21">
        <f>D19*E19/F19</f>
        <v>223.20000000000007</v>
      </c>
      <c r="H19" s="113">
        <f>G19*F19</f>
        <v>22320.000000000007</v>
      </c>
    </row>
    <row r="20" spans="2:34" ht="15">
      <c r="B20" s="19" t="s">
        <v>16</v>
      </c>
      <c r="C20" s="19" t="s">
        <v>21</v>
      </c>
      <c r="D20" s="112">
        <f>'Suplemento y Heno'!$U$13</f>
        <v>990.34090909090935</v>
      </c>
      <c r="E20" s="25">
        <v>30</v>
      </c>
      <c r="F20" s="22">
        <f>C$5</f>
        <v>100</v>
      </c>
      <c r="G20" s="21">
        <f>D20*E20/F20</f>
        <v>297.1022727272728</v>
      </c>
      <c r="H20" s="22"/>
    </row>
    <row r="21" spans="2:34" ht="15.75" thickBot="1">
      <c r="B21" s="43" t="s">
        <v>51</v>
      </c>
      <c r="C21" s="43"/>
      <c r="D21" s="43"/>
      <c r="E21" s="43"/>
      <c r="F21" s="43"/>
      <c r="G21" s="44"/>
      <c r="H21" s="44">
        <f>H18+H19</f>
        <v>27420.000000000007</v>
      </c>
    </row>
    <row r="22" spans="2:34" ht="15" thickTop="1"/>
    <row r="24" spans="2:34" ht="15">
      <c r="B24" s="40" t="s">
        <v>77</v>
      </c>
      <c r="H24" s="11"/>
      <c r="K24" s="115">
        <v>7</v>
      </c>
      <c r="L24" s="115">
        <v>8</v>
      </c>
      <c r="M24" s="115">
        <v>9</v>
      </c>
      <c r="N24" s="115">
        <v>10</v>
      </c>
      <c r="O24" s="115">
        <v>11</v>
      </c>
      <c r="P24" s="115">
        <v>12</v>
      </c>
      <c r="Q24" s="115">
        <v>13</v>
      </c>
      <c r="R24" s="115">
        <v>14</v>
      </c>
      <c r="S24" s="115">
        <v>15</v>
      </c>
      <c r="T24" s="115">
        <v>16</v>
      </c>
      <c r="U24" s="115">
        <v>17</v>
      </c>
      <c r="V24" s="115">
        <v>18</v>
      </c>
      <c r="W24" s="115">
        <v>19</v>
      </c>
      <c r="X24" s="115">
        <v>20</v>
      </c>
      <c r="Y24" s="115">
        <v>21</v>
      </c>
      <c r="Z24" s="115">
        <v>22</v>
      </c>
      <c r="AA24" s="115">
        <v>23</v>
      </c>
      <c r="AB24" s="115">
        <v>24</v>
      </c>
    </row>
    <row r="25" spans="2:34" ht="15">
      <c r="K25" s="207">
        <v>2024</v>
      </c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7"/>
      <c r="W25" s="207">
        <v>2025</v>
      </c>
      <c r="X25" s="207"/>
      <c r="Y25" s="207"/>
      <c r="Z25" s="207"/>
      <c r="AA25" s="207"/>
      <c r="AB25" s="207"/>
      <c r="AC25" s="207"/>
      <c r="AD25" s="207"/>
      <c r="AE25" s="207"/>
      <c r="AF25" s="207"/>
      <c r="AG25" s="207"/>
      <c r="AH25" s="207"/>
    </row>
    <row r="26" spans="2:34" ht="15">
      <c r="B26" s="41" t="s">
        <v>75</v>
      </c>
      <c r="C26" s="41" t="s">
        <v>13</v>
      </c>
      <c r="D26" s="41" t="s">
        <v>44</v>
      </c>
      <c r="E26" s="41" t="s">
        <v>70</v>
      </c>
      <c r="F26" s="42" t="s">
        <v>53</v>
      </c>
      <c r="G26" s="41" t="s">
        <v>71</v>
      </c>
      <c r="H26" s="41" t="s">
        <v>15</v>
      </c>
      <c r="I26" s="104" t="s">
        <v>22</v>
      </c>
      <c r="K26" s="42" t="s">
        <v>113</v>
      </c>
      <c r="L26" s="42" t="s">
        <v>114</v>
      </c>
      <c r="M26" s="42" t="s">
        <v>115</v>
      </c>
      <c r="N26" s="42" t="s">
        <v>116</v>
      </c>
      <c r="O26" s="42" t="s">
        <v>117</v>
      </c>
      <c r="P26" s="42" t="s">
        <v>118</v>
      </c>
      <c r="Q26" s="42" t="s">
        <v>119</v>
      </c>
      <c r="R26" s="42" t="s">
        <v>120</v>
      </c>
      <c r="S26" s="42" t="s">
        <v>121</v>
      </c>
      <c r="T26" s="42" t="s">
        <v>122</v>
      </c>
      <c r="U26" s="42" t="s">
        <v>123</v>
      </c>
      <c r="V26" s="42" t="s">
        <v>124</v>
      </c>
      <c r="W26" s="42" t="s">
        <v>125</v>
      </c>
      <c r="X26" s="42" t="s">
        <v>114</v>
      </c>
      <c r="Y26" s="42" t="s">
        <v>115</v>
      </c>
      <c r="Z26" s="42" t="s">
        <v>116</v>
      </c>
      <c r="AA26" s="42" t="s">
        <v>117</v>
      </c>
      <c r="AB26" s="42" t="s">
        <v>118</v>
      </c>
      <c r="AC26" s="42" t="s">
        <v>119</v>
      </c>
      <c r="AD26" s="42" t="s">
        <v>120</v>
      </c>
      <c r="AE26" s="42" t="s">
        <v>121</v>
      </c>
      <c r="AF26" s="42" t="s">
        <v>122</v>
      </c>
      <c r="AG26" s="42" t="s">
        <v>123</v>
      </c>
      <c r="AH26" s="42" t="s">
        <v>124</v>
      </c>
    </row>
    <row r="27" spans="2:34">
      <c r="B27" s="19" t="s">
        <v>25</v>
      </c>
      <c r="C27" s="19" t="s">
        <v>3</v>
      </c>
      <c r="D27" s="28">
        <f>(16/24)*C5</f>
        <v>66.666666666666657</v>
      </c>
      <c r="E27" s="21">
        <v>3.5</v>
      </c>
      <c r="F27" s="22">
        <f t="shared" ref="F27:F36" si="0">C$5</f>
        <v>100</v>
      </c>
      <c r="G27" s="21">
        <f t="shared" ref="G27:G36" si="1">D27*E27/F27</f>
        <v>2.333333333333333</v>
      </c>
      <c r="H27" s="22">
        <f t="shared" ref="H27:H36" si="2">G27*F27</f>
        <v>233.33333333333331</v>
      </c>
      <c r="I27" s="110" t="s">
        <v>23</v>
      </c>
      <c r="S27" s="116"/>
    </row>
    <row r="28" spans="2:34" ht="15">
      <c r="B28" s="29" t="s">
        <v>26</v>
      </c>
      <c r="C28" s="29" t="s">
        <v>3</v>
      </c>
      <c r="D28" s="30">
        <f>4*C5</f>
        <v>400</v>
      </c>
      <c r="E28" s="31">
        <v>2</v>
      </c>
      <c r="F28" s="22">
        <f t="shared" si="0"/>
        <v>100</v>
      </c>
      <c r="G28" s="21">
        <f t="shared" si="1"/>
        <v>8</v>
      </c>
      <c r="H28" s="22">
        <f t="shared" si="2"/>
        <v>800</v>
      </c>
      <c r="I28" s="110" t="s">
        <v>24</v>
      </c>
      <c r="R28" s="116"/>
      <c r="T28" s="117" t="s">
        <v>129</v>
      </c>
      <c r="U28" s="117" t="s">
        <v>129</v>
      </c>
      <c r="V28" s="117" t="s">
        <v>129</v>
      </c>
      <c r="W28" s="117" t="s">
        <v>129</v>
      </c>
      <c r="X28" s="117" t="s">
        <v>129</v>
      </c>
    </row>
    <row r="29" spans="2:34" ht="15">
      <c r="B29" s="29" t="s">
        <v>27</v>
      </c>
      <c r="C29" s="29" t="s">
        <v>3</v>
      </c>
      <c r="D29" s="32">
        <f>(20/24)*C5</f>
        <v>83.333333333333343</v>
      </c>
      <c r="E29" s="31">
        <v>3.6</v>
      </c>
      <c r="F29" s="22">
        <f t="shared" si="0"/>
        <v>100</v>
      </c>
      <c r="G29" s="21">
        <f t="shared" si="1"/>
        <v>3.0000000000000004</v>
      </c>
      <c r="H29" s="22">
        <f t="shared" si="2"/>
        <v>300.00000000000006</v>
      </c>
      <c r="I29" s="110" t="s">
        <v>24</v>
      </c>
      <c r="Y29" s="116"/>
    </row>
    <row r="30" spans="2:34">
      <c r="B30" s="19" t="s">
        <v>7</v>
      </c>
      <c r="C30" s="19" t="s">
        <v>3</v>
      </c>
      <c r="D30" s="20">
        <f>4*C5</f>
        <v>400</v>
      </c>
      <c r="E30" s="21">
        <v>1.6</v>
      </c>
      <c r="F30" s="22">
        <f t="shared" si="0"/>
        <v>100</v>
      </c>
      <c r="G30" s="21">
        <f t="shared" si="1"/>
        <v>6.4</v>
      </c>
      <c r="H30" s="22">
        <f t="shared" si="2"/>
        <v>640</v>
      </c>
      <c r="I30" s="110" t="s">
        <v>23</v>
      </c>
    </row>
    <row r="31" spans="2:34">
      <c r="B31" s="19" t="s">
        <v>8</v>
      </c>
      <c r="C31" s="19" t="s">
        <v>4</v>
      </c>
      <c r="D31" s="20">
        <f>2*C5</f>
        <v>200</v>
      </c>
      <c r="E31" s="21">
        <v>1</v>
      </c>
      <c r="F31" s="22">
        <f t="shared" si="0"/>
        <v>100</v>
      </c>
      <c r="G31" s="21">
        <f t="shared" si="1"/>
        <v>2</v>
      </c>
      <c r="H31" s="22">
        <f t="shared" si="2"/>
        <v>200</v>
      </c>
      <c r="I31" s="110" t="s">
        <v>28</v>
      </c>
    </row>
    <row r="32" spans="2:34">
      <c r="B32" s="19" t="s">
        <v>9</v>
      </c>
      <c r="C32" s="19" t="s">
        <v>5</v>
      </c>
      <c r="D32" s="20">
        <f>1*C5</f>
        <v>100</v>
      </c>
      <c r="E32" s="21">
        <v>10</v>
      </c>
      <c r="F32" s="22">
        <f t="shared" si="0"/>
        <v>100</v>
      </c>
      <c r="G32" s="21">
        <f t="shared" si="1"/>
        <v>10</v>
      </c>
      <c r="H32" s="22">
        <f t="shared" si="2"/>
        <v>1000</v>
      </c>
      <c r="I32" s="110"/>
      <c r="K32" s="118"/>
    </row>
    <row r="33" spans="2:11" ht="15">
      <c r="B33" s="33" t="s">
        <v>33</v>
      </c>
      <c r="C33" s="33" t="s">
        <v>13</v>
      </c>
      <c r="D33" s="24">
        <f>1*C5</f>
        <v>100</v>
      </c>
      <c r="E33" s="23">
        <v>2</v>
      </c>
      <c r="F33" s="22">
        <f t="shared" si="0"/>
        <v>100</v>
      </c>
      <c r="G33" s="21">
        <f t="shared" si="1"/>
        <v>2</v>
      </c>
      <c r="H33" s="22">
        <f t="shared" si="2"/>
        <v>200</v>
      </c>
      <c r="I33" s="110"/>
    </row>
    <row r="34" spans="2:11">
      <c r="B34" s="19" t="s">
        <v>29</v>
      </c>
      <c r="C34" s="19" t="s">
        <v>4</v>
      </c>
      <c r="D34" s="20">
        <f>1*C5</f>
        <v>100</v>
      </c>
      <c r="E34" s="21">
        <f>(45/24)</f>
        <v>1.875</v>
      </c>
      <c r="F34" s="22">
        <f t="shared" si="0"/>
        <v>100</v>
      </c>
      <c r="G34" s="21">
        <f t="shared" si="1"/>
        <v>1.875</v>
      </c>
      <c r="H34" s="22">
        <f t="shared" si="2"/>
        <v>187.5</v>
      </c>
      <c r="I34" s="110" t="s">
        <v>23</v>
      </c>
    </row>
    <row r="35" spans="2:11">
      <c r="B35" s="19" t="s">
        <v>30</v>
      </c>
      <c r="C35" s="19" t="s">
        <v>3</v>
      </c>
      <c r="D35" s="20">
        <f>2*C5</f>
        <v>200</v>
      </c>
      <c r="E35" s="21">
        <f>(5/6)</f>
        <v>0.83333333333333337</v>
      </c>
      <c r="F35" s="22">
        <f t="shared" si="0"/>
        <v>100</v>
      </c>
      <c r="G35" s="21">
        <f t="shared" si="1"/>
        <v>1.666666666666667</v>
      </c>
      <c r="H35" s="22">
        <f t="shared" si="2"/>
        <v>166.66666666666669</v>
      </c>
      <c r="I35" s="110" t="s">
        <v>23</v>
      </c>
    </row>
    <row r="36" spans="2:11">
      <c r="B36" s="19" t="s">
        <v>31</v>
      </c>
      <c r="C36" s="19" t="s">
        <v>3</v>
      </c>
      <c r="D36" s="20">
        <f>2*C5</f>
        <v>200</v>
      </c>
      <c r="E36" s="21">
        <v>2</v>
      </c>
      <c r="F36" s="22">
        <f t="shared" si="0"/>
        <v>100</v>
      </c>
      <c r="G36" s="21">
        <f t="shared" si="1"/>
        <v>4</v>
      </c>
      <c r="H36" s="22">
        <f t="shared" si="2"/>
        <v>400</v>
      </c>
      <c r="K36" s="111"/>
    </row>
    <row r="37" spans="2:11" ht="15.75" thickBot="1">
      <c r="B37" s="43" t="s">
        <v>51</v>
      </c>
      <c r="C37" s="43"/>
      <c r="D37" s="43"/>
      <c r="E37" s="43"/>
      <c r="F37" s="43"/>
      <c r="G37" s="44">
        <f>SUM(G32:G36)</f>
        <v>19.541666666666668</v>
      </c>
      <c r="H37" s="44">
        <f>SUM(H27:H36)</f>
        <v>4127.5</v>
      </c>
      <c r="K37" s="109"/>
    </row>
    <row r="38" spans="2:11" ht="15.75" thickTop="1">
      <c r="E38" s="27"/>
      <c r="F38" s="27"/>
      <c r="K38" s="109"/>
    </row>
    <row r="39" spans="2:11" ht="15">
      <c r="E39" s="27"/>
      <c r="F39" s="27"/>
      <c r="K39" s="109"/>
    </row>
    <row r="40" spans="2:11" ht="15">
      <c r="B40" s="40" t="s">
        <v>78</v>
      </c>
      <c r="H40" s="11"/>
      <c r="K40" s="109"/>
    </row>
    <row r="41" spans="2:11" ht="15">
      <c r="K41" s="109"/>
    </row>
    <row r="42" spans="2:11" ht="15">
      <c r="B42" s="41" t="s">
        <v>69</v>
      </c>
      <c r="C42" s="41" t="s">
        <v>13</v>
      </c>
      <c r="D42" s="41" t="s">
        <v>44</v>
      </c>
      <c r="E42" s="41" t="s">
        <v>70</v>
      </c>
      <c r="F42" s="42" t="s">
        <v>53</v>
      </c>
      <c r="G42" s="41" t="s">
        <v>71</v>
      </c>
      <c r="H42" s="41" t="s">
        <v>15</v>
      </c>
      <c r="K42" s="109"/>
    </row>
    <row r="43" spans="2:11" ht="15">
      <c r="B43" s="26" t="s">
        <v>54</v>
      </c>
      <c r="C43" s="26" t="s">
        <v>66</v>
      </c>
      <c r="D43" s="103">
        <f>C$5</f>
        <v>100</v>
      </c>
      <c r="E43" s="103">
        <v>15</v>
      </c>
      <c r="F43" s="119">
        <f>C$5</f>
        <v>100</v>
      </c>
      <c r="G43" s="25">
        <f>D43*E43/F43</f>
        <v>15</v>
      </c>
      <c r="H43" s="119">
        <f>G43*F43</f>
        <v>1500</v>
      </c>
      <c r="K43"/>
    </row>
    <row r="44" spans="2:11" ht="15">
      <c r="B44" s="26" t="s">
        <v>10</v>
      </c>
      <c r="C44" s="26" t="s">
        <v>66</v>
      </c>
      <c r="D44" s="103">
        <f t="shared" ref="D44" si="3">C$5</f>
        <v>100</v>
      </c>
      <c r="E44" s="103">
        <v>20</v>
      </c>
      <c r="F44" s="119">
        <f t="shared" ref="F44" si="4">C$5</f>
        <v>100</v>
      </c>
      <c r="G44" s="25">
        <f t="shared" ref="G44" si="5">D44*E44/F44</f>
        <v>20</v>
      </c>
      <c r="H44" s="119">
        <f>G44*F44</f>
        <v>2000</v>
      </c>
      <c r="K44"/>
    </row>
    <row r="45" spans="2:11" ht="15">
      <c r="B45" s="33"/>
      <c r="C45" s="33"/>
      <c r="D45" s="24"/>
      <c r="E45" s="24"/>
      <c r="F45" s="120"/>
      <c r="G45" s="23"/>
      <c r="H45" s="120"/>
      <c r="K45"/>
    </row>
    <row r="46" spans="2:11" ht="15.75" thickBot="1">
      <c r="B46" s="43" t="s">
        <v>51</v>
      </c>
      <c r="C46" s="43"/>
      <c r="D46" s="43"/>
      <c r="E46" s="43"/>
      <c r="F46" s="43"/>
      <c r="G46" s="44">
        <f>SUM(G43:G45)</f>
        <v>35</v>
      </c>
      <c r="H46" s="44">
        <f>SUM(H43:H44)</f>
        <v>3500</v>
      </c>
      <c r="K46"/>
    </row>
    <row r="47" spans="2:11" ht="15" thickTop="1"/>
    <row r="49" spans="2:8" ht="15.75" thickBot="1">
      <c r="B49" s="56" t="s">
        <v>96</v>
      </c>
      <c r="C49" s="57"/>
      <c r="D49" s="58"/>
      <c r="E49" s="58"/>
      <c r="F49" s="58"/>
      <c r="G49" s="58"/>
      <c r="H49" s="59">
        <f>H12+H21+H37+H46</f>
        <v>80047.5</v>
      </c>
    </row>
    <row r="50" spans="2:8" ht="15" thickTop="1"/>
  </sheetData>
  <mergeCells count="6">
    <mergeCell ref="B2:G2"/>
    <mergeCell ref="K9:V9"/>
    <mergeCell ref="W9:AH9"/>
    <mergeCell ref="AI9:AT9"/>
    <mergeCell ref="K25:V25"/>
    <mergeCell ref="W25:AH25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66A4C-55D3-41D7-9C73-16F788126451}">
  <sheetPr>
    <tabColor rgb="FF7030A0"/>
  </sheetPr>
  <dimension ref="B2:E34"/>
  <sheetViews>
    <sheetView showGridLines="0" topLeftCell="A18" zoomScaleNormal="100" workbookViewId="0">
      <selection activeCell="E35" sqref="E35"/>
    </sheetView>
  </sheetViews>
  <sheetFormatPr defaultColWidth="8.7109375" defaultRowHeight="15"/>
  <cols>
    <col min="1" max="1" width="3.5703125" style="34" customWidth="1"/>
    <col min="2" max="2" width="23.140625" style="34" customWidth="1"/>
    <col min="3" max="4" width="14.85546875" style="60" customWidth="1"/>
    <col min="5" max="5" width="14.85546875" style="34" customWidth="1"/>
    <col min="6" max="16384" width="8.7109375" style="34"/>
  </cols>
  <sheetData>
    <row r="2" spans="2:5" ht="18">
      <c r="B2" s="209" t="s">
        <v>145</v>
      </c>
      <c r="C2" s="209"/>
      <c r="D2" s="209"/>
      <c r="E2" s="209"/>
    </row>
    <row r="4" spans="2:5">
      <c r="B4" s="64" t="s">
        <v>103</v>
      </c>
    </row>
    <row r="6" spans="2:5">
      <c r="B6" s="41" t="s">
        <v>40</v>
      </c>
      <c r="C6" s="41" t="s">
        <v>50</v>
      </c>
      <c r="D6" s="41" t="s">
        <v>105</v>
      </c>
      <c r="E6" s="41" t="s">
        <v>14</v>
      </c>
    </row>
    <row r="7" spans="2:5" ht="15.75">
      <c r="B7" s="63" t="s">
        <v>97</v>
      </c>
      <c r="C7" s="70">
        <f>C8+C11</f>
        <v>134784</v>
      </c>
      <c r="D7" s="70">
        <f>SUM(D8+D11)</f>
        <v>1347.84</v>
      </c>
      <c r="E7" s="160">
        <f>SUM(E8+E11)</f>
        <v>28.8</v>
      </c>
    </row>
    <row r="8" spans="2:5" ht="15.75">
      <c r="B8" s="36" t="s">
        <v>36</v>
      </c>
      <c r="C8" s="69">
        <f>C9*C10</f>
        <v>98280</v>
      </c>
      <c r="D8" s="69">
        <f>D9*D10</f>
        <v>982.8</v>
      </c>
      <c r="E8" s="69">
        <f>E10/SUM(E10,E13)*E9</f>
        <v>21</v>
      </c>
    </row>
    <row r="9" spans="2:5">
      <c r="B9" s="34" t="s">
        <v>98</v>
      </c>
      <c r="C9" s="68">
        <f>Supuestos!$Y$15</f>
        <v>30</v>
      </c>
      <c r="D9" s="68">
        <f>Supuestos!$Y$15</f>
        <v>30</v>
      </c>
      <c r="E9" s="68">
        <f>Supuestos!$Y$15</f>
        <v>30</v>
      </c>
    </row>
    <row r="10" spans="2:5">
      <c r="B10" s="34" t="s">
        <v>99</v>
      </c>
      <c r="C10" s="68">
        <f>Supuestos!$O$17</f>
        <v>3276</v>
      </c>
      <c r="D10" s="68">
        <f>Supuestos!$H$19</f>
        <v>32.76</v>
      </c>
      <c r="E10" s="66">
        <f>1*70%</f>
        <v>0.7</v>
      </c>
    </row>
    <row r="11" spans="2:5" ht="15.75">
      <c r="B11" s="11" t="s">
        <v>37</v>
      </c>
      <c r="C11" s="71">
        <f>C12*C13</f>
        <v>36504</v>
      </c>
      <c r="D11" s="71">
        <f>D12*D13</f>
        <v>365.04</v>
      </c>
      <c r="E11" s="71">
        <f>E13/SUM(E10,E13)*E12</f>
        <v>7.8</v>
      </c>
    </row>
    <row r="12" spans="2:5">
      <c r="B12" s="34" t="s">
        <v>98</v>
      </c>
      <c r="C12" s="68">
        <f>Supuestos!$Y$16</f>
        <v>26</v>
      </c>
      <c r="D12" s="68">
        <f>Supuestos!$Y$16</f>
        <v>26</v>
      </c>
      <c r="E12" s="68">
        <f>Supuestos!$Y$16</f>
        <v>26</v>
      </c>
    </row>
    <row r="13" spans="2:5">
      <c r="B13" s="34" t="s">
        <v>99</v>
      </c>
      <c r="C13" s="68">
        <f>Supuestos!$O$18</f>
        <v>1404</v>
      </c>
      <c r="D13" s="68">
        <f>Supuestos!$H$20</f>
        <v>14.040000000000001</v>
      </c>
      <c r="E13" s="66">
        <f>1*30%</f>
        <v>0.3</v>
      </c>
    </row>
    <row r="17" spans="2:5">
      <c r="B17" s="61" t="s">
        <v>104</v>
      </c>
    </row>
    <row r="19" spans="2:5">
      <c r="B19" s="41" t="s">
        <v>40</v>
      </c>
      <c r="C19" s="41" t="s">
        <v>50</v>
      </c>
      <c r="D19" s="41" t="s">
        <v>105</v>
      </c>
      <c r="E19" s="41" t="s">
        <v>14</v>
      </c>
    </row>
    <row r="20" spans="2:5">
      <c r="B20" s="34" t="s">
        <v>102</v>
      </c>
      <c r="C20" s="66">
        <f>'Planeación de Actividades'!H52</f>
        <v>141391.5</v>
      </c>
      <c r="D20" s="66">
        <f>C20/'Planeación de Actividades'!$C$7</f>
        <v>1413.915</v>
      </c>
      <c r="E20" s="66">
        <f>D20/Supuestos!$H$18</f>
        <v>30.211858974358972</v>
      </c>
    </row>
    <row r="21" spans="2:5">
      <c r="B21" s="34" t="s">
        <v>79</v>
      </c>
      <c r="C21" s="66">
        <f>'Gastos Operativos'!E13</f>
        <v>85661.111111111109</v>
      </c>
      <c r="D21" s="66">
        <f>C21/'Planeación de Actividades'!$C$7</f>
        <v>856.61111111111109</v>
      </c>
      <c r="E21" s="66">
        <f>D21/Supuestos!$H$18</f>
        <v>18.303656220322885</v>
      </c>
    </row>
    <row r="22" spans="2:5" ht="16.5" thickBot="1">
      <c r="B22" s="75" t="s">
        <v>106</v>
      </c>
      <c r="C22" s="76">
        <f>SUM(C20:C21)</f>
        <v>227052.61111111112</v>
      </c>
      <c r="D22" s="76">
        <f>SUM(D20:D21)</f>
        <v>2270.5261111111113</v>
      </c>
      <c r="E22" s="76">
        <f>SUM(E20:E21)</f>
        <v>48.515515194681853</v>
      </c>
    </row>
    <row r="23" spans="2:5" ht="16.5" thickTop="1">
      <c r="B23" s="36"/>
      <c r="C23" s="67"/>
      <c r="D23" s="67"/>
      <c r="E23" s="67"/>
    </row>
    <row r="26" spans="2:5" ht="16.5" customHeight="1">
      <c r="B26" s="65" t="s">
        <v>107</v>
      </c>
      <c r="C26" s="66"/>
      <c r="D26" s="66"/>
      <c r="E26" s="66"/>
    </row>
    <row r="27" spans="2:5" ht="16.5" customHeight="1">
      <c r="B27" s="74"/>
      <c r="C27" s="66"/>
      <c r="D27" s="66"/>
      <c r="E27" s="66"/>
    </row>
    <row r="28" spans="2:5">
      <c r="B28" s="41" t="s">
        <v>40</v>
      </c>
      <c r="C28" s="41" t="s">
        <v>50</v>
      </c>
      <c r="D28" s="41" t="s">
        <v>105</v>
      </c>
      <c r="E28" s="41" t="s">
        <v>14</v>
      </c>
    </row>
    <row r="29" spans="2:5" ht="15.75">
      <c r="B29" s="63" t="s">
        <v>97</v>
      </c>
      <c r="C29" s="70">
        <f>C7</f>
        <v>134784</v>
      </c>
      <c r="D29" s="70">
        <f>D7</f>
        <v>1347.84</v>
      </c>
      <c r="E29" s="70">
        <f>E7</f>
        <v>28.8</v>
      </c>
    </row>
    <row r="30" spans="2:5" ht="15.75">
      <c r="B30" s="72" t="s">
        <v>106</v>
      </c>
      <c r="C30" s="73">
        <f>C22</f>
        <v>227052.61111111112</v>
      </c>
      <c r="D30" s="73">
        <f t="shared" ref="D30" si="0">D22</f>
        <v>2270.5261111111113</v>
      </c>
      <c r="E30" s="73">
        <f>E22</f>
        <v>48.515515194681853</v>
      </c>
    </row>
    <row r="31" spans="2:5" ht="16.5" thickBot="1">
      <c r="B31" s="77" t="s">
        <v>108</v>
      </c>
      <c r="C31" s="78">
        <f>C29-C30</f>
        <v>-92268.611111111124</v>
      </c>
      <c r="D31" s="78">
        <f t="shared" ref="D31:E31" si="1">D29-D30</f>
        <v>-922.68611111111136</v>
      </c>
      <c r="E31" s="78">
        <f t="shared" si="1"/>
        <v>-19.715515194681853</v>
      </c>
    </row>
    <row r="32" spans="2:5" ht="15.75" thickTop="1"/>
    <row r="33" spans="2:5" ht="16.5" thickBot="1">
      <c r="B33" s="36" t="s">
        <v>112</v>
      </c>
      <c r="C33" s="108">
        <f>C31/C30</f>
        <v>-0.40637546804497343</v>
      </c>
      <c r="D33" s="108">
        <f t="shared" ref="D33:E33" si="2">D31/D30</f>
        <v>-0.40637546804497349</v>
      </c>
      <c r="E33" s="108">
        <f t="shared" si="2"/>
        <v>-0.40637546804497332</v>
      </c>
    </row>
    <row r="34" spans="2:5" ht="15.75" thickTop="1"/>
  </sheetData>
  <mergeCells count="1">
    <mergeCell ref="B2:E2"/>
  </mergeCells>
  <conditionalFormatting sqref="C31:E31">
    <cfRule type="cellIs" dxfId="11" priority="4" operator="lessThan">
      <formula>0</formula>
    </cfRule>
    <cfRule type="cellIs" dxfId="10" priority="5" operator="greaterThan">
      <formula>0</formula>
    </cfRule>
  </conditionalFormatting>
  <conditionalFormatting sqref="C33:E33">
    <cfRule type="cellIs" dxfId="9" priority="1" operator="lessThan">
      <formula>0%</formula>
    </cfRule>
    <cfRule type="cellIs" dxfId="8" priority="2" operator="greaterThan">
      <formula>0%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73146-4109-4C01-8C4E-86975F33FEA5}">
  <sheetPr>
    <tabColor rgb="FF7030A0"/>
  </sheetPr>
  <dimension ref="B2:E34"/>
  <sheetViews>
    <sheetView showGridLines="0" topLeftCell="A15" zoomScaleNormal="100" workbookViewId="0">
      <selection activeCell="E20" sqref="E20"/>
    </sheetView>
  </sheetViews>
  <sheetFormatPr defaultColWidth="8.7109375" defaultRowHeight="15"/>
  <cols>
    <col min="1" max="1" width="3.5703125" style="34" customWidth="1"/>
    <col min="2" max="2" width="23.140625" style="34" customWidth="1"/>
    <col min="3" max="4" width="17.5703125" style="60" customWidth="1"/>
    <col min="5" max="5" width="17.5703125" style="34" customWidth="1"/>
    <col min="6" max="16384" width="8.7109375" style="34"/>
  </cols>
  <sheetData>
    <row r="2" spans="2:5" ht="18">
      <c r="B2" s="209" t="s">
        <v>146</v>
      </c>
      <c r="C2" s="209"/>
      <c r="D2" s="209"/>
      <c r="E2" s="209"/>
    </row>
    <row r="4" spans="2:5">
      <c r="B4" s="64" t="s">
        <v>103</v>
      </c>
    </row>
    <row r="6" spans="2:5">
      <c r="B6" s="41" t="s">
        <v>40</v>
      </c>
      <c r="C6" s="41" t="s">
        <v>50</v>
      </c>
      <c r="D6" s="41" t="s">
        <v>105</v>
      </c>
      <c r="E6" s="41" t="s">
        <v>14</v>
      </c>
    </row>
    <row r="7" spans="2:5" ht="15.75">
      <c r="B7" s="63" t="s">
        <v>97</v>
      </c>
      <c r="C7" s="70">
        <f>C8+C11</f>
        <v>164736</v>
      </c>
      <c r="D7" s="70">
        <f>SUM(D8+D11)</f>
        <v>1647.3600000000001</v>
      </c>
      <c r="E7" s="161">
        <f>SUM(E8+E11)</f>
        <v>28.8</v>
      </c>
    </row>
    <row r="8" spans="2:5" ht="15.75">
      <c r="B8" s="36" t="s">
        <v>36</v>
      </c>
      <c r="C8" s="69">
        <f>C9*C10</f>
        <v>120120</v>
      </c>
      <c r="D8" s="69">
        <f>D9*D10</f>
        <v>1201.2</v>
      </c>
      <c r="E8" s="69">
        <f>E10/SUM(E10,E13)*E9</f>
        <v>21</v>
      </c>
    </row>
    <row r="9" spans="2:5">
      <c r="B9" s="34" t="s">
        <v>98</v>
      </c>
      <c r="C9" s="68">
        <f>Supuestos!$Y$26</f>
        <v>30</v>
      </c>
      <c r="D9" s="68">
        <f>Supuestos!$Y$26</f>
        <v>30</v>
      </c>
      <c r="E9" s="68">
        <f>Supuestos!$Y$26</f>
        <v>30</v>
      </c>
    </row>
    <row r="10" spans="2:5">
      <c r="B10" s="34" t="s">
        <v>99</v>
      </c>
      <c r="C10" s="68">
        <f>Supuestos!$O$28</f>
        <v>4004</v>
      </c>
      <c r="D10" s="68">
        <f>Supuestos!$H$30</f>
        <v>40.04</v>
      </c>
      <c r="E10" s="66">
        <f>1*70%</f>
        <v>0.7</v>
      </c>
    </row>
    <row r="11" spans="2:5" ht="15.75">
      <c r="B11" s="11" t="s">
        <v>37</v>
      </c>
      <c r="C11" s="71">
        <f>C12*C13</f>
        <v>44616</v>
      </c>
      <c r="D11" s="71">
        <f>D12*D13</f>
        <v>446.16</v>
      </c>
      <c r="E11" s="71">
        <f>E13/SUM(E10,E13)*E12</f>
        <v>7.8</v>
      </c>
    </row>
    <row r="12" spans="2:5">
      <c r="B12" s="34" t="s">
        <v>98</v>
      </c>
      <c r="C12" s="68">
        <f>Supuestos!$Y$27</f>
        <v>26</v>
      </c>
      <c r="D12" s="68">
        <f>Supuestos!$Y$27</f>
        <v>26</v>
      </c>
      <c r="E12" s="68">
        <f>Supuestos!$Y$27</f>
        <v>26</v>
      </c>
    </row>
    <row r="13" spans="2:5">
      <c r="B13" s="34" t="s">
        <v>99</v>
      </c>
      <c r="C13" s="68">
        <f>Supuestos!$O$29</f>
        <v>1716</v>
      </c>
      <c r="D13" s="68">
        <f>Supuestos!$H$31</f>
        <v>17.16</v>
      </c>
      <c r="E13" s="66">
        <f>1*30%</f>
        <v>0.3</v>
      </c>
    </row>
    <row r="17" spans="2:5">
      <c r="B17" s="61" t="s">
        <v>104</v>
      </c>
    </row>
    <row r="19" spans="2:5">
      <c r="B19" s="41" t="s">
        <v>40</v>
      </c>
      <c r="C19" s="41" t="s">
        <v>50</v>
      </c>
      <c r="D19" s="41" t="s">
        <v>105</v>
      </c>
      <c r="E19" s="41" t="s">
        <v>14</v>
      </c>
    </row>
    <row r="20" spans="2:5">
      <c r="B20" s="34" t="s">
        <v>102</v>
      </c>
      <c r="C20" s="66">
        <f>'Costos Variables-Pradera+Heno '!$H$49</f>
        <v>65653.636363636368</v>
      </c>
      <c r="D20" s="66">
        <f>C20/'Costos Variables-Pradera+Heno '!$C$5</f>
        <v>656.53636363636372</v>
      </c>
      <c r="E20" s="66">
        <f>D20/Supuestos!$H$29</f>
        <v>11.477908455181183</v>
      </c>
    </row>
    <row r="21" spans="2:5">
      <c r="B21" s="34" t="s">
        <v>79</v>
      </c>
      <c r="C21" s="66">
        <f>'Gastos Operativos'!$E$13</f>
        <v>85661.111111111109</v>
      </c>
      <c r="D21" s="66">
        <f>C21/'Costos Variables-Pradera+Heno '!$C$5</f>
        <v>856.61111111111109</v>
      </c>
      <c r="E21" s="66">
        <f>D21/Supuestos!$H$29</f>
        <v>14.975718725718725</v>
      </c>
    </row>
    <row r="22" spans="2:5" ht="16.5" thickBot="1">
      <c r="B22" s="75" t="s">
        <v>106</v>
      </c>
      <c r="C22" s="76">
        <f>SUM(C20:C21)</f>
        <v>151314.74747474748</v>
      </c>
      <c r="D22" s="76">
        <f>SUM(D20:D21)</f>
        <v>1513.1474747474749</v>
      </c>
      <c r="E22" s="76">
        <f>SUM(E20:E21)</f>
        <v>26.453627180899908</v>
      </c>
    </row>
    <row r="23" spans="2:5" ht="16.5" thickTop="1">
      <c r="B23" s="36"/>
      <c r="C23" s="67"/>
      <c r="D23" s="67"/>
      <c r="E23" s="67"/>
    </row>
    <row r="26" spans="2:5" ht="16.5" customHeight="1">
      <c r="B26" s="65" t="s">
        <v>107</v>
      </c>
      <c r="C26" s="66"/>
      <c r="D26" s="66"/>
      <c r="E26" s="66"/>
    </row>
    <row r="27" spans="2:5" ht="16.5" customHeight="1">
      <c r="B27" s="74"/>
      <c r="C27" s="66"/>
      <c r="D27" s="66"/>
      <c r="E27" s="66"/>
    </row>
    <row r="28" spans="2:5">
      <c r="B28" s="41" t="s">
        <v>40</v>
      </c>
      <c r="C28" s="41" t="s">
        <v>50</v>
      </c>
      <c r="D28" s="41" t="s">
        <v>105</v>
      </c>
      <c r="E28" s="41" t="s">
        <v>14</v>
      </c>
    </row>
    <row r="29" spans="2:5" ht="15.75">
      <c r="B29" s="63" t="s">
        <v>97</v>
      </c>
      <c r="C29" s="70">
        <f>C7</f>
        <v>164736</v>
      </c>
      <c r="D29" s="70">
        <f>D7</f>
        <v>1647.3600000000001</v>
      </c>
      <c r="E29" s="70">
        <f>E7</f>
        <v>28.8</v>
      </c>
    </row>
    <row r="30" spans="2:5" ht="15.75">
      <c r="B30" s="72" t="s">
        <v>106</v>
      </c>
      <c r="C30" s="73">
        <f>C22</f>
        <v>151314.74747474748</v>
      </c>
      <c r="D30" s="73">
        <f t="shared" ref="D30" si="0">D22</f>
        <v>1513.1474747474749</v>
      </c>
      <c r="E30" s="73">
        <f>E22</f>
        <v>26.453627180899908</v>
      </c>
    </row>
    <row r="31" spans="2:5" ht="16.5" thickBot="1">
      <c r="B31" s="77" t="s">
        <v>108</v>
      </c>
      <c r="C31" s="78">
        <f>C29-C30</f>
        <v>13421.252525252523</v>
      </c>
      <c r="D31" s="78">
        <f t="shared" ref="D31:E31" si="1">D29-D30</f>
        <v>134.21252525252521</v>
      </c>
      <c r="E31" s="78">
        <f t="shared" si="1"/>
        <v>2.3463728191000932</v>
      </c>
    </row>
    <row r="32" spans="2:5" ht="15.75" thickTop="1"/>
    <row r="33" spans="2:5" ht="16.5" thickBot="1">
      <c r="B33" s="36" t="s">
        <v>112</v>
      </c>
      <c r="C33" s="108">
        <f>C31/C30</f>
        <v>8.8697584004443192E-2</v>
      </c>
      <c r="D33" s="108">
        <f t="shared" ref="D33:E33" si="2">D31/D30</f>
        <v>8.8697584004443178E-2</v>
      </c>
      <c r="E33" s="108">
        <f t="shared" si="2"/>
        <v>8.8697584004443261E-2</v>
      </c>
    </row>
    <row r="34" spans="2:5" ht="15.75" thickTop="1"/>
  </sheetData>
  <mergeCells count="1">
    <mergeCell ref="B2:E2"/>
  </mergeCells>
  <conditionalFormatting sqref="C31:E31">
    <cfRule type="cellIs" dxfId="7" priority="3" operator="lessThan">
      <formula>0</formula>
    </cfRule>
    <cfRule type="cellIs" dxfId="6" priority="4" operator="greaterThan">
      <formula>0</formula>
    </cfRule>
  </conditionalFormatting>
  <conditionalFormatting sqref="C33:E33">
    <cfRule type="cellIs" dxfId="5" priority="1" operator="lessThan">
      <formula>0%</formula>
    </cfRule>
    <cfRule type="cellIs" dxfId="4" priority="2" operator="greaterThan">
      <formula>0%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Supuestos</vt:lpstr>
      <vt:lpstr>Inversiones</vt:lpstr>
      <vt:lpstr>Suplemento y Heno</vt:lpstr>
      <vt:lpstr>Gastos Operativos</vt:lpstr>
      <vt:lpstr>Planeación de Actividades</vt:lpstr>
      <vt:lpstr>Costos Variables-Pradera+Heno </vt:lpstr>
      <vt:lpstr>Costos Variables-Pradera+Suplem</vt:lpstr>
      <vt:lpstr>Análisis Económico - Pradera</vt:lpstr>
      <vt:lpstr>Análisis Económico-Pradera+Heno</vt:lpstr>
      <vt:lpstr>Análisis Económico-Pradera+Supl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Marvin Josue Calix Morales</cp:lastModifiedBy>
  <dcterms:created xsi:type="dcterms:W3CDTF">2023-10-07T14:15:48Z</dcterms:created>
  <dcterms:modified xsi:type="dcterms:W3CDTF">2024-02-01T23:44:46Z</dcterms:modified>
</cp:coreProperties>
</file>