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alumnizamorano-my.sharepoint.com/personal/mjcalix_zamorano_edu/Documents/Documents/Datos/ZAMORANO/2021/Trimestre 3/BID/Cohorte 9 - Tarija/Módulos/Módulo 3 - Presupuestos Parciales/"/>
    </mc:Choice>
  </mc:AlternateContent>
  <xr:revisionPtr revIDLastSave="69" documentId="8_{6692A358-C7EE-4925-9490-30D91CA037E2}" xr6:coauthVersionLast="47" xr6:coauthVersionMax="47" xr10:uidLastSave="{AD28009C-92B0-47BA-B70B-6D3A5CBA9B49}"/>
  <bookViews>
    <workbookView xWindow="-28920" yWindow="-120" windowWidth="29040" windowHeight="15720" tabRatio="831" firstSheet="4" activeTab="10" xr2:uid="{00000000-000D-0000-FFFF-FFFF00000000}"/>
  </bookViews>
  <sheets>
    <sheet name="Supuestos" sheetId="4" r:id="rId1"/>
    <sheet name="Inversiones" sheetId="7" r:id="rId2"/>
    <sheet name="Suplemento y Heno" sheetId="10" r:id="rId3"/>
    <sheet name="Gastos Operativos" sheetId="8" r:id="rId4"/>
    <sheet name="Costos Pradera" sheetId="2" r:id="rId5"/>
    <sheet name="Costos Pradera+Heno " sheetId="11" r:id="rId6"/>
    <sheet name="Costos Pradera+Suplemento" sheetId="12" r:id="rId7"/>
    <sheet name="Análisis Económico - Pradera" sheetId="9" r:id="rId8"/>
    <sheet name="Análisis Económico-Pradera+Heno" sheetId="13" r:id="rId9"/>
    <sheet name="Análisis Económico-Pradera+Supl" sheetId="14" r:id="rId10"/>
    <sheet name="Análisis comparativo" sheetId="15" r:id="rId11"/>
  </sheets>
  <externalReferences>
    <externalReference r:id="rId12"/>
  </externalReferences>
  <definedNames>
    <definedName name="___2_Return___Charges_Tracking_per_Container" localSheetId="3">#REF!</definedName>
    <definedName name="___2_Return___Charges_Tracking_per_Container">#REF!</definedName>
    <definedName name="__2_Return___Charges_Tracking_per_Container" localSheetId="3">#REF!</definedName>
    <definedName name="__2_Return___Charges_Tracking_per_Container">#REF!</definedName>
    <definedName name="_1_2_Return___Charges_Tracking_per_Container" localSheetId="3">#REF!</definedName>
    <definedName name="_1_2_Return___Charges_Tracking_per_Container">#REF!</definedName>
    <definedName name="_2_Return___Charges_Tracking_per_Container" localSheetId="3">#REF!</definedName>
    <definedName name="_2_Return___Charges_Tracking_per_Container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4</definedName>
    <definedName name="_AtRisk_SimSetting_MultipleCPUMode" hidden="1">0</definedName>
    <definedName name="_AtRisk_SimSetting_MultipleCPUModeV8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1792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1792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"YVYEVAG37JP25KANFYFVXC23"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USDHKD">'[1]Transaction reserves'!$D$2</definedName>
    <definedName name="USDLPS">'[1]Transaction reserves'!$F$2</definedName>
    <definedName name="USDRMB">'[1]Transaction reserves'!$B$2</definedName>
    <definedName name="固定资产清单" localSheetId="3">#REF!</definedName>
    <definedName name="固定资产清单">#REF!</definedName>
    <definedName name="试算平衡表" localSheetId="3">#REF!</definedName>
    <definedName name="试算平衡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0" l="1"/>
  <c r="C20" i="10"/>
  <c r="C7" i="10"/>
  <c r="H19" i="4"/>
  <c r="H18" i="4"/>
  <c r="D8" i="14"/>
  <c r="E7" i="14"/>
  <c r="V38" i="4"/>
  <c r="L39" i="4" s="1"/>
  <c r="L16" i="4"/>
  <c r="L18" i="4"/>
  <c r="L17" i="4"/>
  <c r="O17" i="4" s="1"/>
  <c r="F13" i="12"/>
  <c r="D13" i="12"/>
  <c r="D13" i="11"/>
  <c r="F13" i="11" s="1"/>
  <c r="C7" i="12"/>
  <c r="C7" i="11"/>
  <c r="C7" i="2"/>
  <c r="D13" i="2"/>
  <c r="F13" i="2" s="1"/>
  <c r="V27" i="4"/>
  <c r="L28" i="4" s="1"/>
  <c r="H39" i="4"/>
  <c r="H17" i="4"/>
  <c r="H28" i="4"/>
  <c r="H29" i="4" s="1"/>
  <c r="F24" i="10"/>
  <c r="E24" i="10"/>
  <c r="C21" i="10"/>
  <c r="G8" i="10"/>
  <c r="C8" i="10"/>
  <c r="J8" i="7"/>
  <c r="H8" i="7"/>
  <c r="I8" i="7"/>
  <c r="M24" i="10"/>
  <c r="M21" i="10"/>
  <c r="M20" i="10"/>
  <c r="D24" i="10"/>
  <c r="H24" i="10"/>
  <c r="G24" i="10"/>
  <c r="T24" i="10"/>
  <c r="G20" i="10"/>
  <c r="F21" i="10"/>
  <c r="S24" i="10"/>
  <c r="R24" i="10"/>
  <c r="Q24" i="10"/>
  <c r="P24" i="10"/>
  <c r="O24" i="10"/>
  <c r="N24" i="10"/>
  <c r="L24" i="10"/>
  <c r="K24" i="10"/>
  <c r="J24" i="10"/>
  <c r="I24" i="10"/>
  <c r="H40" i="4"/>
  <c r="H42" i="4" s="1"/>
  <c r="L27" i="4" l="1"/>
  <c r="L38" i="4"/>
  <c r="L40" i="4"/>
  <c r="G13" i="2"/>
  <c r="L29" i="4"/>
  <c r="H41" i="4"/>
  <c r="D10" i="14" s="1"/>
  <c r="T16" i="4"/>
  <c r="U25" i="10"/>
  <c r="D19" i="10"/>
  <c r="D20" i="10" s="1"/>
  <c r="T27" i="4"/>
  <c r="J9" i="7"/>
  <c r="E29" i="14"/>
  <c r="D13" i="14"/>
  <c r="D11" i="14" s="1"/>
  <c r="E12" i="14"/>
  <c r="D12" i="14"/>
  <c r="E9" i="14"/>
  <c r="D9" i="14"/>
  <c r="C12" i="14"/>
  <c r="C9" i="14"/>
  <c r="E13" i="14"/>
  <c r="E10" i="14"/>
  <c r="E8" i="14" s="1"/>
  <c r="E13" i="9"/>
  <c r="E10" i="9"/>
  <c r="E8" i="9" s="1"/>
  <c r="E13" i="13"/>
  <c r="E8" i="13"/>
  <c r="E10" i="13"/>
  <c r="E12" i="13"/>
  <c r="D12" i="13"/>
  <c r="E9" i="13"/>
  <c r="D9" i="13"/>
  <c r="C12" i="13"/>
  <c r="C9" i="13"/>
  <c r="D9" i="9"/>
  <c r="T38" i="4"/>
  <c r="O16" i="4"/>
  <c r="E37" i="12"/>
  <c r="E36" i="12"/>
  <c r="E13" i="12"/>
  <c r="E37" i="11"/>
  <c r="E36" i="11"/>
  <c r="E13" i="11"/>
  <c r="D38" i="11" l="1"/>
  <c r="F56" i="11"/>
  <c r="G56" i="11" s="1"/>
  <c r="F57" i="11"/>
  <c r="G57" i="11" s="1"/>
  <c r="H57" i="11" s="1"/>
  <c r="F58" i="11"/>
  <c r="F31" i="11"/>
  <c r="D33" i="11"/>
  <c r="D38" i="12"/>
  <c r="F58" i="12"/>
  <c r="F57" i="12"/>
  <c r="G57" i="12" s="1"/>
  <c r="H57" i="12" s="1"/>
  <c r="F56" i="12"/>
  <c r="G56" i="12" s="1"/>
  <c r="H31" i="4"/>
  <c r="D13" i="13" s="1"/>
  <c r="D11" i="13" s="1"/>
  <c r="G13" i="11"/>
  <c r="G14" i="11" s="1"/>
  <c r="F21" i="11"/>
  <c r="E19" i="10"/>
  <c r="O29" i="4"/>
  <c r="C13" i="13" s="1"/>
  <c r="C11" i="13" s="1"/>
  <c r="O27" i="4"/>
  <c r="E11" i="14"/>
  <c r="D7" i="14"/>
  <c r="D29" i="14" s="1"/>
  <c r="E11" i="13"/>
  <c r="E7" i="13"/>
  <c r="E29" i="13" s="1"/>
  <c r="E11" i="9"/>
  <c r="F33" i="11"/>
  <c r="D35" i="11"/>
  <c r="O40" i="4"/>
  <c r="C13" i="14" s="1"/>
  <c r="C11" i="14" s="1"/>
  <c r="O38" i="4"/>
  <c r="O39" i="4"/>
  <c r="C10" i="14" s="1"/>
  <c r="C8" i="14" s="1"/>
  <c r="H30" i="4"/>
  <c r="D10" i="13" s="1"/>
  <c r="D8" i="13" s="1"/>
  <c r="G13" i="12"/>
  <c r="D29" i="11"/>
  <c r="F29" i="11"/>
  <c r="F38" i="11"/>
  <c r="D31" i="11"/>
  <c r="D46" i="11"/>
  <c r="D46" i="12"/>
  <c r="F21" i="12"/>
  <c r="D31" i="12"/>
  <c r="D33" i="12"/>
  <c r="D35" i="12"/>
  <c r="F29" i="12"/>
  <c r="F31" i="12"/>
  <c r="F33" i="12"/>
  <c r="F35" i="12"/>
  <c r="D37" i="12"/>
  <c r="F46" i="12"/>
  <c r="D29" i="12"/>
  <c r="F37" i="12"/>
  <c r="F20" i="12"/>
  <c r="G20" i="12" s="1"/>
  <c r="F22" i="12"/>
  <c r="D30" i="12"/>
  <c r="D32" i="12"/>
  <c r="D34" i="12"/>
  <c r="D36" i="12"/>
  <c r="D45" i="12"/>
  <c r="F30" i="12"/>
  <c r="F32" i="12"/>
  <c r="F34" i="12"/>
  <c r="F45" i="12"/>
  <c r="F38" i="12"/>
  <c r="F36" i="12"/>
  <c r="F35" i="11"/>
  <c r="D37" i="11"/>
  <c r="F46" i="11"/>
  <c r="F37" i="11"/>
  <c r="F20" i="11"/>
  <c r="G20" i="11" s="1"/>
  <c r="F22" i="11"/>
  <c r="D30" i="11"/>
  <c r="D32" i="11"/>
  <c r="D34" i="11"/>
  <c r="D36" i="11"/>
  <c r="D45" i="11"/>
  <c r="F32" i="11"/>
  <c r="F34" i="11"/>
  <c r="F45" i="11"/>
  <c r="F30" i="11"/>
  <c r="F36" i="11"/>
  <c r="D6" i="10"/>
  <c r="G36" i="12" l="1"/>
  <c r="H36" i="12" s="1"/>
  <c r="C7" i="14"/>
  <c r="E6" i="15" s="1"/>
  <c r="G38" i="12"/>
  <c r="H38" i="12" s="1"/>
  <c r="G31" i="11"/>
  <c r="H31" i="11" s="1"/>
  <c r="H13" i="11"/>
  <c r="H14" i="11" s="1"/>
  <c r="G38" i="11"/>
  <c r="H38" i="11" s="1"/>
  <c r="G45" i="11"/>
  <c r="H13" i="12"/>
  <c r="G14" i="12"/>
  <c r="H20" i="11"/>
  <c r="G30" i="12"/>
  <c r="H30" i="12" s="1"/>
  <c r="H56" i="12"/>
  <c r="H56" i="11"/>
  <c r="H20" i="12"/>
  <c r="G33" i="11"/>
  <c r="H33" i="11" s="1"/>
  <c r="G35" i="11"/>
  <c r="H35" i="11" s="1"/>
  <c r="G29" i="11"/>
  <c r="H29" i="11" s="1"/>
  <c r="D7" i="13"/>
  <c r="D29" i="13" s="1"/>
  <c r="F19" i="10"/>
  <c r="E20" i="10"/>
  <c r="O28" i="4"/>
  <c r="C10" i="13" s="1"/>
  <c r="C8" i="13" s="1"/>
  <c r="C7" i="13" s="1"/>
  <c r="G45" i="12"/>
  <c r="H45" i="12" s="1"/>
  <c r="G29" i="12"/>
  <c r="G33" i="12"/>
  <c r="H33" i="12" s="1"/>
  <c r="G46" i="11"/>
  <c r="H46" i="11" s="1"/>
  <c r="G31" i="12"/>
  <c r="H31" i="12" s="1"/>
  <c r="G37" i="12"/>
  <c r="H37" i="12" s="1"/>
  <c r="G32" i="12"/>
  <c r="H32" i="12" s="1"/>
  <c r="G46" i="12"/>
  <c r="H46" i="12" s="1"/>
  <c r="G36" i="11"/>
  <c r="H36" i="11" s="1"/>
  <c r="G37" i="11"/>
  <c r="H37" i="11" s="1"/>
  <c r="G34" i="11"/>
  <c r="G32" i="11"/>
  <c r="H32" i="11" s="1"/>
  <c r="G34" i="12"/>
  <c r="G35" i="12"/>
  <c r="H35" i="12" s="1"/>
  <c r="G30" i="11"/>
  <c r="H30" i="11" s="1"/>
  <c r="D7" i="10"/>
  <c r="E6" i="10"/>
  <c r="C12" i="9"/>
  <c r="C9" i="9"/>
  <c r="D12" i="9"/>
  <c r="E12" i="9"/>
  <c r="E9" i="9"/>
  <c r="H20" i="4"/>
  <c r="O18" i="4" s="1"/>
  <c r="J12" i="7"/>
  <c r="J13" i="7"/>
  <c r="J14" i="7"/>
  <c r="I12" i="7"/>
  <c r="I13" i="7"/>
  <c r="I14" i="7"/>
  <c r="F12" i="7"/>
  <c r="F13" i="7"/>
  <c r="F14" i="7"/>
  <c r="H14" i="7"/>
  <c r="H13" i="7"/>
  <c r="H12" i="7"/>
  <c r="E8" i="8"/>
  <c r="H9" i="7"/>
  <c r="H10" i="7"/>
  <c r="H11" i="7"/>
  <c r="D11" i="7"/>
  <c r="D10" i="7"/>
  <c r="F10" i="7" s="1"/>
  <c r="F9" i="7"/>
  <c r="F8" i="7"/>
  <c r="E11" i="8"/>
  <c r="E9" i="8"/>
  <c r="E10" i="8"/>
  <c r="E7" i="8"/>
  <c r="E13" i="2"/>
  <c r="C29" i="14" l="1"/>
  <c r="G48" i="11"/>
  <c r="H22" i="10"/>
  <c r="D22" i="10"/>
  <c r="E22" i="10"/>
  <c r="C9" i="10"/>
  <c r="D9" i="10"/>
  <c r="F56" i="2"/>
  <c r="G56" i="2" s="1"/>
  <c r="H56" i="2" s="1"/>
  <c r="F58" i="2"/>
  <c r="F57" i="2"/>
  <c r="G57" i="2" s="1"/>
  <c r="C22" i="10"/>
  <c r="C23" i="10" s="1"/>
  <c r="H29" i="12"/>
  <c r="G39" i="12"/>
  <c r="G48" i="12"/>
  <c r="G39" i="11"/>
  <c r="H14" i="12"/>
  <c r="C29" i="13"/>
  <c r="D6" i="15"/>
  <c r="H48" i="12"/>
  <c r="D10" i="9"/>
  <c r="D8" i="9" s="1"/>
  <c r="C10" i="9"/>
  <c r="C8" i="9" s="1"/>
  <c r="G19" i="10"/>
  <c r="F20" i="10"/>
  <c r="D8" i="10"/>
  <c r="D21" i="10"/>
  <c r="C13" i="9"/>
  <c r="C11" i="9" s="1"/>
  <c r="H34" i="11"/>
  <c r="H39" i="11" s="1"/>
  <c r="H34" i="12"/>
  <c r="H45" i="11"/>
  <c r="D13" i="9"/>
  <c r="D11" i="9" s="1"/>
  <c r="D33" i="2"/>
  <c r="D32" i="2"/>
  <c r="D35" i="2"/>
  <c r="D34" i="2"/>
  <c r="F11" i="7"/>
  <c r="J11" i="7" s="1"/>
  <c r="E7" i="10"/>
  <c r="E8" i="10" s="1"/>
  <c r="E9" i="10" s="1"/>
  <c r="E21" i="10"/>
  <c r="F6" i="10"/>
  <c r="G6" i="10" s="1"/>
  <c r="F20" i="2"/>
  <c r="G20" i="2" s="1"/>
  <c r="D46" i="2"/>
  <c r="F46" i="2"/>
  <c r="J10" i="7"/>
  <c r="I9" i="7"/>
  <c r="I10" i="7"/>
  <c r="F45" i="2"/>
  <c r="D45" i="2"/>
  <c r="F32" i="2"/>
  <c r="F33" i="2"/>
  <c r="D36" i="2"/>
  <c r="F38" i="2"/>
  <c r="F31" i="2"/>
  <c r="F34" i="2"/>
  <c r="D30" i="2"/>
  <c r="D38" i="2"/>
  <c r="F36" i="2"/>
  <c r="D31" i="2"/>
  <c r="F29" i="2"/>
  <c r="D29" i="2"/>
  <c r="D37" i="2"/>
  <c r="F35" i="2"/>
  <c r="F30" i="2"/>
  <c r="F37" i="2"/>
  <c r="G14" i="2"/>
  <c r="F21" i="2"/>
  <c r="F22" i="2"/>
  <c r="G29" i="2" l="1"/>
  <c r="H29" i="2" s="1"/>
  <c r="C10" i="10"/>
  <c r="E23" i="10"/>
  <c r="D10" i="10"/>
  <c r="H57" i="2"/>
  <c r="H48" i="11"/>
  <c r="H39" i="12"/>
  <c r="G23" i="2"/>
  <c r="H20" i="2"/>
  <c r="H23" i="2" s="1"/>
  <c r="E10" i="10"/>
  <c r="D7" i="9"/>
  <c r="D29" i="9" s="1"/>
  <c r="H19" i="10"/>
  <c r="G21" i="10"/>
  <c r="G22" i="10" s="1"/>
  <c r="G23" i="10" s="1"/>
  <c r="I11" i="7"/>
  <c r="I15" i="7" s="1"/>
  <c r="C7" i="9"/>
  <c r="F7" i="10"/>
  <c r="F8" i="10" s="1"/>
  <c r="F9" i="10" s="1"/>
  <c r="F10" i="10" s="1"/>
  <c r="G7" i="10"/>
  <c r="G9" i="10" s="1"/>
  <c r="G10" i="10" s="1"/>
  <c r="G31" i="2"/>
  <c r="H31" i="2" s="1"/>
  <c r="G45" i="2"/>
  <c r="G46" i="2"/>
  <c r="H46" i="2" s="1"/>
  <c r="H6" i="10"/>
  <c r="H7" i="10" s="1"/>
  <c r="J15" i="7"/>
  <c r="G34" i="2"/>
  <c r="H34" i="2" s="1"/>
  <c r="G33" i="2"/>
  <c r="H33" i="2" s="1"/>
  <c r="G30" i="2"/>
  <c r="H30" i="2" s="1"/>
  <c r="G32" i="2"/>
  <c r="H32" i="2" s="1"/>
  <c r="G35" i="2"/>
  <c r="H35" i="2" s="1"/>
  <c r="G38" i="2"/>
  <c r="H38" i="2" s="1"/>
  <c r="H13" i="2"/>
  <c r="H14" i="2" s="1"/>
  <c r="C29" i="9" l="1"/>
  <c r="C6" i="15"/>
  <c r="D12" i="8"/>
  <c r="E12" i="8" s="1"/>
  <c r="E13" i="8" s="1"/>
  <c r="C21" i="13" s="1"/>
  <c r="E58" i="12"/>
  <c r="G58" i="12" s="1"/>
  <c r="E58" i="2"/>
  <c r="G58" i="2" s="1"/>
  <c r="H58" i="2" s="1"/>
  <c r="E58" i="11"/>
  <c r="G58" i="11" s="1"/>
  <c r="H45" i="2"/>
  <c r="H48" i="2" s="1"/>
  <c r="G48" i="2"/>
  <c r="I19" i="10"/>
  <c r="H20" i="10"/>
  <c r="H21" i="10" s="1"/>
  <c r="H23" i="10" s="1"/>
  <c r="D23" i="10"/>
  <c r="E7" i="9"/>
  <c r="E29" i="9" s="1"/>
  <c r="I6" i="10"/>
  <c r="I7" i="10" s="1"/>
  <c r="H8" i="10"/>
  <c r="H9" i="10" s="1"/>
  <c r="H10" i="10" s="1"/>
  <c r="C21" i="14" l="1"/>
  <c r="D21" i="14" s="1"/>
  <c r="E21" i="14" s="1"/>
  <c r="H58" i="11"/>
  <c r="G59" i="11"/>
  <c r="G59" i="2"/>
  <c r="D21" i="13"/>
  <c r="E21" i="13" s="1"/>
  <c r="D9" i="15"/>
  <c r="H58" i="12"/>
  <c r="G59" i="12"/>
  <c r="I20" i="10"/>
  <c r="J19" i="10"/>
  <c r="F22" i="10"/>
  <c r="J6" i="10"/>
  <c r="J7" i="10" s="1"/>
  <c r="E37" i="2"/>
  <c r="E36" i="2"/>
  <c r="E9" i="15" l="1"/>
  <c r="H59" i="2"/>
  <c r="H59" i="12"/>
  <c r="H59" i="11"/>
  <c r="K19" i="10"/>
  <c r="J20" i="10"/>
  <c r="J21" i="10" s="1"/>
  <c r="J22" i="10" s="1"/>
  <c r="J23" i="10" s="1"/>
  <c r="F23" i="10"/>
  <c r="I8" i="10"/>
  <c r="I9" i="10" s="1"/>
  <c r="I10" i="10" s="1"/>
  <c r="J8" i="10"/>
  <c r="J9" i="10" s="1"/>
  <c r="J10" i="10" s="1"/>
  <c r="K6" i="10"/>
  <c r="K7" i="10" s="1"/>
  <c r="I21" i="10"/>
  <c r="G36" i="2"/>
  <c r="G37" i="2"/>
  <c r="H37" i="2" s="1"/>
  <c r="G39" i="2" l="1"/>
  <c r="G51" i="2" s="1"/>
  <c r="G64" i="2" s="1"/>
  <c r="C21" i="9"/>
  <c r="L19" i="10"/>
  <c r="K20" i="10"/>
  <c r="I22" i="10"/>
  <c r="K8" i="10"/>
  <c r="K9" i="10" s="1"/>
  <c r="K10" i="10" s="1"/>
  <c r="L6" i="10"/>
  <c r="L7" i="10" s="1"/>
  <c r="H36" i="2"/>
  <c r="H39" i="2" s="1"/>
  <c r="H51" i="2" s="1"/>
  <c r="C9" i="15" l="1"/>
  <c r="D21" i="9"/>
  <c r="E21" i="9" s="1"/>
  <c r="M19" i="10"/>
  <c r="L20" i="10"/>
  <c r="L21" i="10" s="1"/>
  <c r="L22" i="10" s="1"/>
  <c r="L23" i="10" s="1"/>
  <c r="I23" i="10"/>
  <c r="M6" i="10"/>
  <c r="M7" i="10" s="1"/>
  <c r="L8" i="10"/>
  <c r="L9" i="10" s="1"/>
  <c r="L10" i="10" s="1"/>
  <c r="K21" i="10"/>
  <c r="C20" i="9" l="1"/>
  <c r="H64" i="2"/>
  <c r="N19" i="10"/>
  <c r="M22" i="10"/>
  <c r="M23" i="10" s="1"/>
  <c r="K22" i="10"/>
  <c r="M8" i="10"/>
  <c r="M9" i="10" s="1"/>
  <c r="N6" i="10"/>
  <c r="N7" i="10" s="1"/>
  <c r="D20" i="9" l="1"/>
  <c r="D22" i="9" s="1"/>
  <c r="C22" i="9"/>
  <c r="C30" i="9" s="1"/>
  <c r="C31" i="9" s="1"/>
  <c r="C33" i="9" s="1"/>
  <c r="G66" i="2"/>
  <c r="I56" i="2"/>
  <c r="I57" i="2"/>
  <c r="I58" i="2"/>
  <c r="I59" i="2"/>
  <c r="I39" i="2"/>
  <c r="C8" i="15"/>
  <c r="C7" i="15" s="1"/>
  <c r="C10" i="15" s="1"/>
  <c r="C11" i="15" s="1"/>
  <c r="M10" i="10"/>
  <c r="N20" i="10"/>
  <c r="O19" i="10"/>
  <c r="K23" i="10"/>
  <c r="O6" i="10"/>
  <c r="O7" i="10" s="1"/>
  <c r="N21" i="10"/>
  <c r="N22" i="10" s="1"/>
  <c r="N23" i="10" s="1"/>
  <c r="D22" i="2" s="1"/>
  <c r="N8" i="10"/>
  <c r="N9" i="10" s="1"/>
  <c r="N10" i="10" s="1"/>
  <c r="C27" i="10" l="1"/>
  <c r="C12" i="10"/>
  <c r="D22" i="11"/>
  <c r="G22" i="11" s="1"/>
  <c r="D22" i="12"/>
  <c r="D21" i="2"/>
  <c r="U11" i="10"/>
  <c r="O20" i="10"/>
  <c r="O21" i="10" s="1"/>
  <c r="O22" i="10" s="1"/>
  <c r="O23" i="10" s="1"/>
  <c r="P19" i="10"/>
  <c r="P6" i="10"/>
  <c r="P7" i="10" s="1"/>
  <c r="O8" i="10"/>
  <c r="O9" i="10" s="1"/>
  <c r="O10" i="10" s="1"/>
  <c r="H22" i="11" l="1"/>
  <c r="H23" i="11" s="1"/>
  <c r="H51" i="11" s="1"/>
  <c r="G23" i="11"/>
  <c r="G51" i="11" s="1"/>
  <c r="G64" i="11" s="1"/>
  <c r="D21" i="12"/>
  <c r="D21" i="11"/>
  <c r="G21" i="2"/>
  <c r="H21" i="2" s="1"/>
  <c r="Q19" i="10"/>
  <c r="P20" i="10"/>
  <c r="P21" i="10" s="1"/>
  <c r="P22" i="10" s="1"/>
  <c r="P23" i="10" s="1"/>
  <c r="P8" i="10"/>
  <c r="P9" i="10" s="1"/>
  <c r="P10" i="10" s="1"/>
  <c r="Q6" i="10"/>
  <c r="Q7" i="10" s="1"/>
  <c r="H64" i="11" l="1"/>
  <c r="I36" i="11" s="1"/>
  <c r="C20" i="13"/>
  <c r="D8" i="15" s="1"/>
  <c r="D7" i="15" s="1"/>
  <c r="D10" i="15" s="1"/>
  <c r="D11" i="15" s="1"/>
  <c r="R19" i="10"/>
  <c r="Q20" i="10"/>
  <c r="Q21" i="10"/>
  <c r="Q22" i="10" s="1"/>
  <c r="Q23" i="10" s="1"/>
  <c r="Q8" i="10"/>
  <c r="Q9" i="10" s="1"/>
  <c r="Q10" i="10" s="1"/>
  <c r="R6" i="10"/>
  <c r="R7" i="10" s="1"/>
  <c r="D20" i="13" l="1"/>
  <c r="E20" i="13" s="1"/>
  <c r="I32" i="11"/>
  <c r="I33" i="11"/>
  <c r="I51" i="11"/>
  <c r="I31" i="11"/>
  <c r="I13" i="11"/>
  <c r="C22" i="13"/>
  <c r="C30" i="13" s="1"/>
  <c r="C31" i="13" s="1"/>
  <c r="C33" i="13" s="1"/>
  <c r="I34" i="11"/>
  <c r="I29" i="11"/>
  <c r="I20" i="11"/>
  <c r="I37" i="11"/>
  <c r="I35" i="11"/>
  <c r="I30" i="11"/>
  <c r="I22" i="11"/>
  <c r="I38" i="11"/>
  <c r="I14" i="11"/>
  <c r="I23" i="11"/>
  <c r="G67" i="11"/>
  <c r="I47" i="11"/>
  <c r="I64" i="11"/>
  <c r="I57" i="11"/>
  <c r="I56" i="11"/>
  <c r="I46" i="11"/>
  <c r="I39" i="11"/>
  <c r="I45" i="11"/>
  <c r="I48" i="11"/>
  <c r="I58" i="11"/>
  <c r="I59" i="11"/>
  <c r="D22" i="13"/>
  <c r="D30" i="13" s="1"/>
  <c r="D31" i="13" s="1"/>
  <c r="D33" i="13" s="1"/>
  <c r="E22" i="13"/>
  <c r="E30" i="13" s="1"/>
  <c r="E31" i="13" s="1"/>
  <c r="E33" i="13" s="1"/>
  <c r="S19" i="10"/>
  <c r="R20" i="10"/>
  <c r="R21" i="10" s="1"/>
  <c r="R22" i="10" s="1"/>
  <c r="R23" i="10" s="1"/>
  <c r="S6" i="10"/>
  <c r="S7" i="10" s="1"/>
  <c r="R8" i="10"/>
  <c r="R9" i="10" s="1"/>
  <c r="R10" i="10" s="1"/>
  <c r="T19" i="10" l="1"/>
  <c r="T20" i="10" s="1"/>
  <c r="S20" i="10"/>
  <c r="S8" i="10"/>
  <c r="S9" i="10" s="1"/>
  <c r="S10" i="10" s="1"/>
  <c r="S21" i="10"/>
  <c r="T6" i="10"/>
  <c r="T7" i="10" s="1"/>
  <c r="U7" i="10" s="1"/>
  <c r="U20" i="10" l="1"/>
  <c r="S22" i="10"/>
  <c r="T21" i="10" l="1"/>
  <c r="S23" i="10"/>
  <c r="T8" i="10"/>
  <c r="U21" i="10" l="1"/>
  <c r="T22" i="10"/>
  <c r="U22" i="10" s="1"/>
  <c r="T9" i="10"/>
  <c r="U8" i="10"/>
  <c r="G21" i="12"/>
  <c r="H21" i="12" l="1"/>
  <c r="G23" i="12"/>
  <c r="G51" i="12" s="1"/>
  <c r="G64" i="12" s="1"/>
  <c r="U9" i="10"/>
  <c r="T10" i="10"/>
  <c r="U10" i="10" s="1"/>
  <c r="T23" i="10"/>
  <c r="U23" i="10" s="1"/>
  <c r="H23" i="12" l="1"/>
  <c r="G21" i="11"/>
  <c r="H21" i="11" s="1"/>
  <c r="U24" i="10"/>
  <c r="G22" i="12"/>
  <c r="H22" i="12" s="1"/>
  <c r="G22" i="2"/>
  <c r="H22" i="2" s="1"/>
  <c r="H51" i="12" l="1"/>
  <c r="I23" i="2"/>
  <c r="I48" i="2"/>
  <c r="I35" i="2"/>
  <c r="I14" i="2"/>
  <c r="I47" i="2"/>
  <c r="I36" i="2"/>
  <c r="I13" i="2"/>
  <c r="I46" i="2"/>
  <c r="I37" i="2"/>
  <c r="I38" i="2"/>
  <c r="I31" i="2"/>
  <c r="I64" i="2"/>
  <c r="I30" i="2"/>
  <c r="I34" i="2"/>
  <c r="I20" i="2"/>
  <c r="I45" i="2"/>
  <c r="I32" i="2"/>
  <c r="I33" i="2"/>
  <c r="I29" i="2"/>
  <c r="I51" i="2"/>
  <c r="H64" i="12" l="1"/>
  <c r="I51" i="12" s="1"/>
  <c r="C20" i="14"/>
  <c r="E20" i="9"/>
  <c r="E22" i="9" s="1"/>
  <c r="E30" i="9" s="1"/>
  <c r="E31" i="9" s="1"/>
  <c r="E33" i="9" s="1"/>
  <c r="D30" i="9" l="1"/>
  <c r="D31" i="9" s="1"/>
  <c r="D33" i="9" s="1"/>
  <c r="C22" i="14"/>
  <c r="C30" i="14" s="1"/>
  <c r="C31" i="14" s="1"/>
  <c r="C33" i="14" s="1"/>
  <c r="E8" i="15"/>
  <c r="E7" i="15" s="1"/>
  <c r="E10" i="15" s="1"/>
  <c r="E11" i="15" s="1"/>
  <c r="D20" i="14"/>
  <c r="I47" i="12"/>
  <c r="I64" i="12"/>
  <c r="G67" i="12"/>
  <c r="I36" i="12"/>
  <c r="I38" i="12"/>
  <c r="I57" i="12"/>
  <c r="I37" i="12"/>
  <c r="I33" i="12"/>
  <c r="I31" i="12"/>
  <c r="I13" i="12"/>
  <c r="I30" i="12"/>
  <c r="I20" i="12"/>
  <c r="I46" i="12"/>
  <c r="I56" i="12"/>
  <c r="I32" i="12"/>
  <c r="I35" i="12"/>
  <c r="I45" i="12"/>
  <c r="I14" i="12"/>
  <c r="I48" i="12"/>
  <c r="I29" i="12"/>
  <c r="I34" i="12"/>
  <c r="I39" i="12"/>
  <c r="I58" i="12"/>
  <c r="I59" i="12"/>
  <c r="I21" i="12"/>
  <c r="I23" i="12"/>
  <c r="E20" i="14" l="1"/>
  <c r="E22" i="14" s="1"/>
  <c r="E30" i="14" s="1"/>
  <c r="E31" i="14" s="1"/>
  <c r="E33" i="14" s="1"/>
  <c r="D22" i="14"/>
  <c r="D30" i="14" s="1"/>
  <c r="D31" i="14" s="1"/>
  <c r="D33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1" authorId="0" shapeId="0" xr:uid="{941A6F6C-DDC9-4EFE-8E1D-29F3D1B27DCC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B29" authorId="0" shapeId="0" xr:uid="{E2DED70A-8372-46C6-882D-BE6DE21EEBFB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" authorId="0" shapeId="0" xr:uid="{2328166E-88B6-4B1B-9EDE-CB6CCE9C0C96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B30" authorId="0" shapeId="0" xr:uid="{071EA851-6BE2-42D1-9A4E-2F567187AF00}">
      <text>
        <r>
          <rPr>
            <b/>
            <sz val="9"/>
            <color indexed="81"/>
            <rFont val="Tahoma"/>
            <family val="2"/>
          </rPr>
          <t>1 vez al año</t>
        </r>
      </text>
    </comment>
    <comment ref="C30" authorId="0" shapeId="0" xr:uid="{39DEBBB7-C809-43E8-8294-5EB78F4BAC17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B31" authorId="0" shapeId="0" xr:uid="{A65B9260-CB06-46C4-B9D2-F912777F9A67}">
      <text>
        <r>
          <rPr>
            <b/>
            <sz val="9"/>
            <color indexed="81"/>
            <rFont val="Tahoma"/>
            <family val="2"/>
          </rPr>
          <t>1 vez al año</t>
        </r>
      </text>
    </comment>
    <comment ref="C31" authorId="0" shapeId="0" xr:uid="{86907003-A679-4BC1-A7D6-2D8A788AD457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 xr:uid="{FBD390D2-FD5A-429C-9538-AFD85ACF229C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DC05542C-0784-4F0E-BFFB-195FBF73C198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B33" authorId="0" shapeId="0" xr:uid="{B9DFB570-60CE-409E-AA50-1D3A864DF751}">
      <text>
        <r>
          <rPr>
            <b/>
            <sz val="9"/>
            <color indexed="81"/>
            <rFont val="Tahoma"/>
            <family val="2"/>
          </rPr>
          <t>1 jeringa por cada 10 inyecciones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 xr:uid="{BF907FFB-D35F-46A7-B7EB-F0CDF8FD6578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02BE7CE7-2CAE-4EA8-B7B3-85649CD4CFD8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4" authorId="0" shapeId="0" xr:uid="{BD9C18B6-CE47-407D-8C0E-4AF834F5B11B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DE4E214A-1D33-42D5-8BFE-648B0A5A7744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A8F0DFC6-2288-4BC5-9B4A-7293935C3BA5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6" authorId="0" shapeId="0" xr:uid="{3A2A1B1D-1437-4622-B4B6-E0F6630A2FA3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B37" authorId="0" shapeId="0" xr:uid="{C4B6BEDA-CEDA-407A-9BE0-3748023039F4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 shapeId="0" xr:uid="{046BBA0B-B53F-4C6D-84C3-DCF933535060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8" authorId="0" shapeId="0" xr:uid="{A9809B23-6D23-4E8B-B884-A65DF1B59454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87B0BB6F-8B19-4778-B108-198499D89668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1" authorId="0" shapeId="0" xr:uid="{78B34315-57C7-48DF-8852-26204CA52F14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C29" authorId="0" shapeId="0" xr:uid="{A9FF81DF-E193-47B6-9795-DDC210D50594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C30" authorId="0" shapeId="0" xr:uid="{5590768D-1873-4101-B0FD-4D7AC5C44D09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1" authorId="0" shapeId="0" xr:uid="{1D359A5E-2112-432D-AB4E-0E0AFD5364DA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FAD704CE-E12E-46FB-9B4C-2B2FDA3D8004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3" authorId="0" shapeId="0" xr:uid="{FCD6DA65-4715-473C-80A5-C4CE4E6309CB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AA661414-5B7D-4C32-A1C5-239179184ED3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4" authorId="0" shapeId="0" xr:uid="{28482F88-B400-4772-A4EA-C5C1F859C510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6FF78341-9F69-4440-A439-E7421B79F5B6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8CF35510-F1F2-418B-A06F-A45D38BA02C5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6" authorId="0" shapeId="0" xr:uid="{2CC0C2A7-43B4-4C92-B44E-C4FCA1C72BFA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C37" authorId="0" shapeId="0" xr:uid="{D6DEE2C5-4FF3-4653-B6FD-3061293D59E6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2947487D-6D54-4C68-9180-C1E0F1BCA521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1" authorId="0" shapeId="0" xr:uid="{48622A4A-0C28-4050-B328-1CF8BCB56451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C29" authorId="0" shapeId="0" xr:uid="{142FCC21-0025-4BC9-9248-18CF9607D5C9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C30" authorId="0" shapeId="0" xr:uid="{F068567A-2FA5-4A12-93A0-CE32E78BFFFD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1" authorId="0" shapeId="0" xr:uid="{E97ECB98-475B-4614-B3E3-A1DA4D8F5ECA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" authorId="0" shapeId="0" xr:uid="{68CAB9CF-3CFA-4C6E-9683-9A36800B9929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3" authorId="0" shapeId="0" xr:uid="{486CF939-3C76-4A9E-8252-060429D3C3CC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159C9161-F97F-433F-8F14-86FD2D3158A7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4" authorId="0" shapeId="0" xr:uid="{7E1FD1B3-00F8-4C10-B880-6D88025BFB26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F8FC2475-9921-44C5-AB49-7F9FB9142117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 xr:uid="{84995C9B-C7B9-4CE1-A721-C88557A2C329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6" authorId="0" shapeId="0" xr:uid="{7AE67330-9AF3-4DE0-8F82-DC99EFF6D9C3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C37" authorId="0" shapeId="0" xr:uid="{14182B8F-AA8D-4229-8F3E-DE797D13A15C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2DBE2E3F-F495-4F54-ADAD-57953A8B5D85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<sst xmlns="http://schemas.openxmlformats.org/spreadsheetml/2006/main" count="803" uniqueCount="165">
  <si>
    <t>Cercos perimetrales</t>
  </si>
  <si>
    <t>Alquiler Pastura nativa</t>
  </si>
  <si>
    <t>Corral</t>
  </si>
  <si>
    <t>cc/ 2 año</t>
  </si>
  <si>
    <t>unid/ 2 año</t>
  </si>
  <si>
    <t>unidad</t>
  </si>
  <si>
    <t>Cerco</t>
  </si>
  <si>
    <t>Calcificantes vitaminas y minerales</t>
  </si>
  <si>
    <t>Jeringas desechables de 10 ml</t>
  </si>
  <si>
    <t>Caravanas numeradas medianas</t>
  </si>
  <si>
    <t>Costo de faena</t>
  </si>
  <si>
    <r>
      <t xml:space="preserve">Bebederos </t>
    </r>
    <r>
      <rPr>
        <b/>
        <sz val="11"/>
        <color rgb="FFFF0000"/>
        <rFont val="Calibri"/>
        <family val="2"/>
        <scheme val="minor"/>
      </rPr>
      <t>( 2 a 3 )</t>
    </r>
  </si>
  <si>
    <r>
      <t xml:space="preserve">Comederos </t>
    </r>
    <r>
      <rPr>
        <b/>
        <sz val="11"/>
        <color rgb="FFFF0000"/>
        <rFont val="Calibri"/>
        <family val="2"/>
        <scheme val="minor"/>
      </rPr>
      <t>( 2 a 3 )</t>
    </r>
    <r>
      <rPr>
        <sz val="11"/>
        <color theme="1"/>
        <rFont val="Calibri"/>
        <family val="2"/>
        <scheme val="minor"/>
      </rPr>
      <t xml:space="preserve"> 5 m x 0.8 m</t>
    </r>
  </si>
  <si>
    <t>Unidad</t>
  </si>
  <si>
    <t>Kg</t>
  </si>
  <si>
    <t>Costo Total</t>
  </si>
  <si>
    <t>Heno de alfalfa, cebada</t>
  </si>
  <si>
    <r>
      <t xml:space="preserve">Corral de manejo </t>
    </r>
    <r>
      <rPr>
        <b/>
        <sz val="11"/>
        <color rgb="FFFF0000"/>
        <rFont val="Calibri"/>
        <family val="2"/>
        <scheme val="minor"/>
      </rPr>
      <t>(100 cabezas)</t>
    </r>
  </si>
  <si>
    <t>Meses</t>
  </si>
  <si>
    <t>Mensual</t>
  </si>
  <si>
    <t>Peso (Kg)</t>
  </si>
  <si>
    <t>Pacas</t>
  </si>
  <si>
    <t>Antibióticos amplio espectro</t>
  </si>
  <si>
    <t>Antiparasitarios interno vía oral</t>
  </si>
  <si>
    <t xml:space="preserve">Antiparasitarios externo para baños </t>
  </si>
  <si>
    <t>Matabicheras/cicatrizante</t>
  </si>
  <si>
    <t>Anticépticos agua oxigenada</t>
  </si>
  <si>
    <t>Yodopobidona/anticéptico</t>
  </si>
  <si>
    <t>Aplicador de caravana</t>
  </si>
  <si>
    <t>Hojas de visturí</t>
  </si>
  <si>
    <t>Estuche quirúrjico</t>
  </si>
  <si>
    <t>Jeringa mecánica o pistola</t>
  </si>
  <si>
    <t>Extra</t>
  </si>
  <si>
    <t>Primera</t>
  </si>
  <si>
    <t>1. Financieros</t>
  </si>
  <si>
    <t xml:space="preserve">3. Mercado: Producto - Demanda - Precios </t>
  </si>
  <si>
    <t>Concepto</t>
  </si>
  <si>
    <t>Valor</t>
  </si>
  <si>
    <t>Horizonte de tiempo (años)</t>
  </si>
  <si>
    <t>Unidades</t>
  </si>
  <si>
    <t>Cantidad</t>
  </si>
  <si>
    <t>Financiamiento bancario (plazo en años)</t>
  </si>
  <si>
    <t>Financiamiento bancario (monto)</t>
  </si>
  <si>
    <t>Tasa Impuesto sobre la Renta (ISR)</t>
  </si>
  <si>
    <t>Dividendos</t>
  </si>
  <si>
    <t>Salario mínimo diario (1 jornal)</t>
  </si>
  <si>
    <t>Lote</t>
  </si>
  <si>
    <t>Total</t>
  </si>
  <si>
    <t>Financiamiento bancario (tasa)</t>
  </si>
  <si>
    <t>Llamas</t>
  </si>
  <si>
    <t>Costo de transporte a matadero</t>
  </si>
  <si>
    <t>Peso de ancuta destetada (a 7 meses)</t>
  </si>
  <si>
    <t>Explotación pecuaria</t>
  </si>
  <si>
    <t>Peso vivo de llama adulta (a 24 meses)</t>
  </si>
  <si>
    <t>Rendimiento de la canal entera (52% del peso vivo)</t>
  </si>
  <si>
    <t>2. Coeficientes Técnicos - Aspectos técnicos</t>
  </si>
  <si>
    <t>Aspecto técnico</t>
  </si>
  <si>
    <t>Cantidad por llama (unidad animal)</t>
  </si>
  <si>
    <t>Cantidad por lote (100 unidades animales)</t>
  </si>
  <si>
    <t>Lotes</t>
  </si>
  <si>
    <t>Unidades animales por lote</t>
  </si>
  <si>
    <t>Producción</t>
  </si>
  <si>
    <t>Unidad animal</t>
  </si>
  <si>
    <t xml:space="preserve">Costos de Producción de Camélidos </t>
  </si>
  <si>
    <t>Producción (Unidades animales)</t>
  </si>
  <si>
    <t>Actividad</t>
  </si>
  <si>
    <t>Costo Unitario</t>
  </si>
  <si>
    <t>Costo por llama</t>
  </si>
  <si>
    <t>1. Inventario</t>
  </si>
  <si>
    <r>
      <rPr>
        <b/>
        <sz val="11"/>
        <color rgb="FFFF0000"/>
        <rFont val="Arial"/>
        <family val="2"/>
      </rPr>
      <t xml:space="preserve">Ancuta </t>
    </r>
    <r>
      <rPr>
        <sz val="11"/>
        <color theme="1"/>
        <rFont val="Arial"/>
        <family val="2"/>
      </rPr>
      <t xml:space="preserve">destetada a 7 meses </t>
    </r>
    <r>
      <rPr>
        <b/>
        <sz val="11"/>
        <color rgb="FFFF0000"/>
        <rFont val="Arial"/>
        <family val="2"/>
      </rPr>
      <t>Peso Vivo 45 kg</t>
    </r>
  </si>
  <si>
    <t>Producto / Activo</t>
  </si>
  <si>
    <t>Insumo / Tipo de alimento</t>
  </si>
  <si>
    <t>2. Alimentación</t>
  </si>
  <si>
    <t>3. Sanidad Animal</t>
  </si>
  <si>
    <t>4. Cosecha - Transporte y sacrificio</t>
  </si>
  <si>
    <t>Costos Fijos</t>
  </si>
  <si>
    <t>Depreciaciones</t>
  </si>
  <si>
    <t>Servicios públicos</t>
  </si>
  <si>
    <t>Descripción</t>
  </si>
  <si>
    <t>Gastos Operativos</t>
  </si>
  <si>
    <t>Servicios de consultorías</t>
  </si>
  <si>
    <t>Mantenimiento y reparación de potreros</t>
  </si>
  <si>
    <t>Salario del pastor de llamas (17 meses)</t>
  </si>
  <si>
    <t>Veces</t>
  </si>
  <si>
    <t>Infraestructura / Equipos</t>
  </si>
  <si>
    <t>1. Inversiones en Activos Fijos</t>
  </si>
  <si>
    <t>Depreciación Mensual</t>
  </si>
  <si>
    <t>Vida Útil (años)</t>
  </si>
  <si>
    <t>Vida Útil (meses)</t>
  </si>
  <si>
    <t>Depreciación Anual</t>
  </si>
  <si>
    <t>Salario del dueño</t>
  </si>
  <si>
    <t>Costos Fijos Totales</t>
  </si>
  <si>
    <t>Total de Costos Variables</t>
  </si>
  <si>
    <t>Ingreso por ventas</t>
  </si>
  <si>
    <t xml:space="preserve">     Precio</t>
  </si>
  <si>
    <t xml:space="preserve">     Cantidad</t>
  </si>
  <si>
    <t>Tipo de carne</t>
  </si>
  <si>
    <t>Precio / Kg</t>
  </si>
  <si>
    <t>Costos Variables</t>
  </si>
  <si>
    <t>1. Ingresos por Ventas</t>
  </si>
  <si>
    <t>2. Costos totales</t>
  </si>
  <si>
    <t>Llama</t>
  </si>
  <si>
    <t>Costos Totales</t>
  </si>
  <si>
    <t>3. Utilidades</t>
  </si>
  <si>
    <t>Utilidades</t>
  </si>
  <si>
    <r>
      <t xml:space="preserve">Rendimiento carne </t>
    </r>
    <r>
      <rPr>
        <b/>
        <sz val="12"/>
        <color theme="1"/>
        <rFont val="Arial"/>
        <family val="2"/>
      </rPr>
      <t>Tipo Extra</t>
    </r>
    <r>
      <rPr>
        <sz val="12"/>
        <color theme="1"/>
        <rFont val="Arial"/>
        <family val="2"/>
      </rPr>
      <t xml:space="preserve"> (70% de la canal entera)</t>
    </r>
  </si>
  <si>
    <t xml:space="preserve">Demanda Carne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</si>
  <si>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</si>
  <si>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</si>
  <si>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</si>
  <si>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</si>
  <si>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</si>
  <si>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</si>
  <si>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</si>
  <si>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</si>
  <si>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</si>
  <si>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</si>
  <si>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</si>
  <si>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</si>
  <si>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</si>
  <si>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Pradera</t>
  </si>
  <si>
    <t>Suplemento alimenticio menores (balanceado)</t>
  </si>
  <si>
    <t>Lluvia</t>
  </si>
  <si>
    <t>Suplemento (kg) / llama / día</t>
  </si>
  <si>
    <t>Suplemento (kg) / llama / mes</t>
  </si>
  <si>
    <t>Heno (kg) / llama / día</t>
  </si>
  <si>
    <t>Heno (kg) / llama / mes</t>
  </si>
  <si>
    <t xml:space="preserve">1 Paca de heno = 22 Kg </t>
  </si>
  <si>
    <t>Pradera + suplementación</t>
  </si>
  <si>
    <t>Rendimiento: peso vivo en kg de llama adulta (a 24 meses)</t>
  </si>
  <si>
    <t>Pradera + heno</t>
  </si>
  <si>
    <t>Tipo de Sistema Producción</t>
  </si>
  <si>
    <t>1. Pradera</t>
  </si>
  <si>
    <t>2. Pradera + Heno</t>
  </si>
  <si>
    <t>3. Pradera + Suplementación</t>
  </si>
  <si>
    <t>Análisis Económico Producción de Llamas - Pradera</t>
  </si>
  <si>
    <t>Análisis Económico Producción de Llamas - Pradera + Heno</t>
  </si>
  <si>
    <t>Análisis Económico Producción de Llamas - Pradera + Suplementación</t>
  </si>
  <si>
    <t>5. Gastos operativos</t>
  </si>
  <si>
    <t>Total costos fijos</t>
  </si>
  <si>
    <t>Insumos / Actividades</t>
  </si>
  <si>
    <t>Actividad / Gasto</t>
  </si>
  <si>
    <r>
      <t xml:space="preserve">Plan de Actividades - </t>
    </r>
    <r>
      <rPr>
        <b/>
        <sz val="18"/>
        <color rgb="FFFF0000"/>
        <rFont val="Arial"/>
        <family val="2"/>
      </rPr>
      <t>Recría de llamas</t>
    </r>
  </si>
  <si>
    <t>Coeficiente técnico:</t>
  </si>
  <si>
    <t>Alimentación con Suplemento Balanceado</t>
  </si>
  <si>
    <t>Alimentación con Heno</t>
  </si>
  <si>
    <t>Suplemento (kg) / lote / mes</t>
  </si>
  <si>
    <t>Suplemento (kg) / Llama / mes</t>
  </si>
  <si>
    <t>Heno (kg) / lote / mes</t>
  </si>
  <si>
    <t>Pacas / lote / mes</t>
  </si>
  <si>
    <t>Pacas / llama / mes</t>
  </si>
  <si>
    <t>1. Inventario / compra de ancutas</t>
  </si>
  <si>
    <t>Costo Unitario por llama</t>
  </si>
  <si>
    <r>
      <t xml:space="preserve">Rendimiento carne </t>
    </r>
    <r>
      <rPr>
        <b/>
        <sz val="12"/>
        <color theme="1"/>
        <rFont val="Arial"/>
        <family val="2"/>
      </rPr>
      <t>Tipo Primera</t>
    </r>
    <r>
      <rPr>
        <sz val="12"/>
        <color theme="1"/>
        <rFont val="Arial"/>
        <family val="2"/>
      </rPr>
      <t xml:space="preserve"> (30% de la canal entera)</t>
    </r>
  </si>
  <si>
    <t>Costo (%)</t>
  </si>
  <si>
    <t>No sumar</t>
  </si>
  <si>
    <t>Pradera + Alimentación Balanceada</t>
  </si>
  <si>
    <t>Pradera + Heno</t>
  </si>
  <si>
    <t>Detalle</t>
  </si>
  <si>
    <t>4. Rentabilidad</t>
  </si>
  <si>
    <t>Tasa de mortalidad:</t>
  </si>
  <si>
    <t>Análisis Comparativo entre Sistemas de Alimentación</t>
  </si>
  <si>
    <t>Recría o engorde de llamas - Análisis por lote</t>
  </si>
  <si>
    <r>
      <t xml:space="preserve">Salario del pastor de llamas (17 meses) - </t>
    </r>
    <r>
      <rPr>
        <b/>
        <sz val="11"/>
        <color theme="1"/>
        <rFont val="Arial"/>
        <family val="2"/>
      </rPr>
      <t>MOD</t>
    </r>
  </si>
  <si>
    <t>Depreciación: Pérdida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</si>
</sst>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_ ;[Red]\-#,##0\ "/>
    <numFmt numFmtId="166" formatCode="#,##0.00_ ;[Red]\-#,##0.00\ "/>
    <numFmt numFmtId="167" formatCode="#,##0.0_ ;[Red]\-#,##0.0\ "/>
    <numFmt numFmtId="168" formatCode="_ * #,##0_ ;_ * \-#,##0_ ;_ * &quot;-&quot;??_ ;_ @_ "/>
    <numFmt numFmtId="169" formatCode="#,##0.0"/>
    <numFmt numFmtId="170" formatCode="0.0%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2"/>
      <color rgb="FF0070C0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  <font>
      <b/>
      <sz val="16"/>
      <color rgb="FF0070C0"/>
      <name val="Arial"/>
      <family val="2"/>
    </font>
    <font>
      <b/>
      <sz val="16"/>
      <color rgb="FFC00000"/>
      <name val="Arial"/>
      <family val="2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9D5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/>
    <xf numFmtId="0" fontId="4" fillId="0" borderId="0"/>
    <xf numFmtId="43" fontId="4" fillId="0" borderId="0" applyFont="0" applyFill="0" applyBorder="0" applyAlignment="0" applyProtection="0"/>
  </cellStyleXfs>
  <cellXfs count="29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6" fillId="3" borderId="1" xfId="0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4" fontId="10" fillId="0" borderId="0" xfId="0" applyNumberFormat="1" applyFont="1" applyAlignment="1">
      <alignment horizontal="center"/>
    </xf>
    <xf numFmtId="0" fontId="10" fillId="0" borderId="25" xfId="0" applyFont="1" applyBorder="1"/>
    <xf numFmtId="0" fontId="10" fillId="0" borderId="25" xfId="0" applyFont="1" applyBorder="1" applyAlignment="1">
      <alignment horizontal="center"/>
    </xf>
    <xf numFmtId="4" fontId="10" fillId="0" borderId="25" xfId="0" applyNumberFormat="1" applyFont="1" applyBorder="1" applyAlignment="1">
      <alignment horizontal="center"/>
    </xf>
    <xf numFmtId="3" fontId="10" fillId="0" borderId="25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0" xfId="0" applyFont="1"/>
    <xf numFmtId="0" fontId="14" fillId="0" borderId="3" xfId="0" applyFont="1" applyBorder="1"/>
    <xf numFmtId="2" fontId="9" fillId="0" borderId="1" xfId="0" applyNumberFormat="1" applyFont="1" applyBorder="1" applyAlignment="1">
      <alignment horizontal="center"/>
    </xf>
    <xf numFmtId="0" fontId="19" fillId="5" borderId="1" xfId="0" applyFont="1" applyFill="1" applyBorder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4" borderId="13" xfId="0" applyFont="1" applyFill="1" applyBorder="1"/>
    <xf numFmtId="4" fontId="21" fillId="4" borderId="13" xfId="0" applyNumberFormat="1" applyFont="1" applyFill="1" applyBorder="1" applyAlignment="1">
      <alignment horizontal="center"/>
    </xf>
    <xf numFmtId="3" fontId="21" fillId="4" borderId="13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2" applyFont="1">
      <alignment vertical="center"/>
    </xf>
    <xf numFmtId="168" fontId="16" fillId="4" borderId="13" xfId="6" applyNumberFormat="1" applyFont="1" applyFill="1" applyBorder="1" applyAlignment="1">
      <alignment horizontal="left" vertical="center"/>
    </xf>
    <xf numFmtId="168" fontId="24" fillId="0" borderId="1" xfId="6" applyNumberFormat="1" applyFont="1" applyFill="1" applyBorder="1" applyAlignment="1">
      <alignment horizontal="left" vertical="center"/>
    </xf>
    <xf numFmtId="0" fontId="16" fillId="3" borderId="1" xfId="6" applyNumberFormat="1" applyFont="1" applyFill="1" applyBorder="1" applyAlignment="1">
      <alignment horizontal="center" vertical="center" wrapText="1"/>
    </xf>
    <xf numFmtId="1" fontId="24" fillId="0" borderId="1" xfId="6" applyNumberFormat="1" applyFont="1" applyFill="1" applyBorder="1" applyAlignment="1">
      <alignment horizontal="center" vertical="center"/>
    </xf>
    <xf numFmtId="3" fontId="24" fillId="0" borderId="1" xfId="6" applyNumberFormat="1" applyFont="1" applyFill="1" applyBorder="1" applyAlignment="1">
      <alignment horizontal="center" vertical="center"/>
    </xf>
    <xf numFmtId="3" fontId="24" fillId="0" borderId="1" xfId="6" applyNumberFormat="1" applyFont="1" applyFill="1" applyBorder="1" applyAlignment="1">
      <alignment horizontal="left" vertical="center"/>
    </xf>
    <xf numFmtId="3" fontId="16" fillId="4" borderId="13" xfId="6" applyNumberFormat="1" applyFont="1" applyFill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6" fillId="7" borderId="13" xfId="0" applyFont="1" applyFill="1" applyBorder="1"/>
    <xf numFmtId="0" fontId="10" fillId="7" borderId="13" xfId="0" applyFont="1" applyFill="1" applyBorder="1"/>
    <xf numFmtId="0" fontId="10" fillId="7" borderId="13" xfId="0" applyFont="1" applyFill="1" applyBorder="1" applyAlignment="1">
      <alignment horizontal="center"/>
    </xf>
    <xf numFmtId="4" fontId="6" fillId="7" borderId="13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20" fillId="8" borderId="0" xfId="0" applyFont="1" applyFill="1" applyAlignment="1">
      <alignment vertical="center"/>
    </xf>
    <xf numFmtId="0" fontId="21" fillId="3" borderId="1" xfId="0" applyFont="1" applyFill="1" applyBorder="1" applyAlignment="1">
      <alignment vertical="center"/>
    </xf>
    <xf numFmtId="0" fontId="18" fillId="0" borderId="0" xfId="0" applyFont="1"/>
    <xf numFmtId="0" fontId="20" fillId="9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167" fontId="14" fillId="0" borderId="0" xfId="0" applyNumberFormat="1" applyFont="1" applyAlignment="1">
      <alignment horizontal="left"/>
    </xf>
    <xf numFmtId="167" fontId="9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0" fontId="17" fillId="0" borderId="13" xfId="0" applyFont="1" applyBorder="1"/>
    <xf numFmtId="167" fontId="17" fillId="0" borderId="13" xfId="0" applyNumberFormat="1" applyFont="1" applyBorder="1" applyAlignment="1">
      <alignment horizontal="left"/>
    </xf>
    <xf numFmtId="0" fontId="9" fillId="0" borderId="13" xfId="0" applyFont="1" applyBorder="1"/>
    <xf numFmtId="167" fontId="9" fillId="0" borderId="13" xfId="0" applyNumberFormat="1" applyFont="1" applyBorder="1" applyAlignment="1">
      <alignment horizontal="left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14" fillId="0" borderId="3" xfId="2" applyFont="1" applyBorder="1">
      <alignment vertical="center"/>
    </xf>
    <xf numFmtId="0" fontId="14" fillId="0" borderId="3" xfId="2" applyFont="1" applyBorder="1" applyAlignment="1">
      <alignment horizontal="left" vertical="center"/>
    </xf>
    <xf numFmtId="0" fontId="9" fillId="3" borderId="26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9" fontId="14" fillId="0" borderId="1" xfId="3" applyFont="1" applyBorder="1" applyAlignment="1">
      <alignment horizontal="left" vertical="center"/>
    </xf>
    <xf numFmtId="165" fontId="14" fillId="0" borderId="3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9" fontId="14" fillId="0" borderId="0" xfId="3" applyFont="1" applyBorder="1" applyAlignment="1">
      <alignment horizontal="center" vertical="center"/>
    </xf>
    <xf numFmtId="165" fontId="14" fillId="4" borderId="3" xfId="2" applyNumberFormat="1" applyFont="1" applyFill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165" fontId="14" fillId="0" borderId="1" xfId="2" applyNumberFormat="1" applyFont="1" applyBorder="1" applyAlignment="1">
      <alignment horizontal="left" vertical="center"/>
    </xf>
    <xf numFmtId="1" fontId="14" fillId="0" borderId="0" xfId="2" applyNumberFormat="1" applyFont="1" applyAlignment="1">
      <alignment horizontal="center" vertical="center"/>
    </xf>
    <xf numFmtId="9" fontId="14" fillId="0" borderId="0" xfId="3" applyFont="1">
      <alignment vertical="center"/>
    </xf>
    <xf numFmtId="0" fontId="9" fillId="0" borderId="0" xfId="2" applyFont="1">
      <alignment vertical="center"/>
    </xf>
    <xf numFmtId="0" fontId="9" fillId="3" borderId="4" xfId="2" applyFont="1" applyFill="1" applyBorder="1">
      <alignment vertical="center"/>
    </xf>
    <xf numFmtId="3" fontId="14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12" borderId="1" xfId="0" applyFont="1" applyFill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10" fillId="0" borderId="25" xfId="0" applyFont="1" applyBorder="1" applyAlignment="1">
      <alignment vertical="center" wrapText="1"/>
    </xf>
    <xf numFmtId="2" fontId="6" fillId="0" borderId="0" xfId="0" applyNumberFormat="1" applyFont="1"/>
    <xf numFmtId="0" fontId="10" fillId="0" borderId="0" xfId="0" applyFont="1" applyAlignment="1">
      <alignment horizontal="left"/>
    </xf>
    <xf numFmtId="4" fontId="10" fillId="0" borderId="0" xfId="0" applyNumberFormat="1" applyFont="1"/>
    <xf numFmtId="1" fontId="12" fillId="0" borderId="1" xfId="0" applyNumberFormat="1" applyFont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10" fillId="11" borderId="0" xfId="0" applyFont="1" applyFill="1"/>
    <xf numFmtId="3" fontId="6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/>
    </xf>
    <xf numFmtId="0" fontId="9" fillId="12" borderId="29" xfId="0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164" fontId="26" fillId="0" borderId="28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3" fontId="18" fillId="0" borderId="2" xfId="0" applyNumberFormat="1" applyFont="1" applyBorder="1" applyAlignment="1">
      <alignment horizontal="center"/>
    </xf>
    <xf numFmtId="0" fontId="26" fillId="0" borderId="21" xfId="0" applyFont="1" applyBorder="1" applyAlignment="1">
      <alignment horizontal="left"/>
    </xf>
    <xf numFmtId="0" fontId="26" fillId="0" borderId="14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3" fontId="26" fillId="0" borderId="2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1" fontId="14" fillId="0" borderId="28" xfId="0" applyNumberFormat="1" applyFont="1" applyBorder="1" applyAlignment="1">
      <alignment horizontal="center"/>
    </xf>
    <xf numFmtId="1" fontId="14" fillId="0" borderId="25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64" fontId="14" fillId="0" borderId="25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left"/>
    </xf>
    <xf numFmtId="3" fontId="9" fillId="0" borderId="25" xfId="0" applyNumberFormat="1" applyFont="1" applyBorder="1" applyAlignment="1">
      <alignment horizontal="left"/>
    </xf>
    <xf numFmtId="0" fontId="9" fillId="3" borderId="31" xfId="2" applyFont="1" applyFill="1" applyBorder="1">
      <alignment vertical="center"/>
    </xf>
    <xf numFmtId="0" fontId="14" fillId="14" borderId="3" xfId="0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vertical="center"/>
    </xf>
    <xf numFmtId="0" fontId="14" fillId="15" borderId="1" xfId="2" applyFont="1" applyFill="1" applyBorder="1" applyAlignment="1">
      <alignment horizontal="center" vertical="center"/>
    </xf>
    <xf numFmtId="0" fontId="27" fillId="0" borderId="0" xfId="2" applyFont="1">
      <alignment vertical="center"/>
    </xf>
    <xf numFmtId="167" fontId="18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left"/>
    </xf>
    <xf numFmtId="168" fontId="24" fillId="2" borderId="1" xfId="6" applyNumberFormat="1" applyFont="1" applyFill="1" applyBorder="1" applyAlignment="1">
      <alignment horizontal="left" vertical="center"/>
    </xf>
    <xf numFmtId="4" fontId="21" fillId="4" borderId="13" xfId="0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0" fontId="21" fillId="16" borderId="13" xfId="0" applyFont="1" applyFill="1" applyBorder="1" applyAlignment="1">
      <alignment vertical="center"/>
    </xf>
    <xf numFmtId="4" fontId="21" fillId="16" borderId="13" xfId="0" applyNumberFormat="1" applyFont="1" applyFill="1" applyBorder="1" applyAlignment="1">
      <alignment horizontal="left" vertical="center"/>
    </xf>
    <xf numFmtId="0" fontId="10" fillId="16" borderId="13" xfId="0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vertical="center"/>
    </xf>
    <xf numFmtId="0" fontId="10" fillId="16" borderId="13" xfId="0" applyFont="1" applyFill="1" applyBorder="1" applyAlignment="1">
      <alignment horizontal="left" vertical="center"/>
    </xf>
    <xf numFmtId="0" fontId="10" fillId="0" borderId="16" xfId="0" applyFont="1" applyBorder="1"/>
    <xf numFmtId="0" fontId="10" fillId="16" borderId="32" xfId="0" applyFont="1" applyFill="1" applyBorder="1" applyAlignment="1">
      <alignment vertical="center"/>
    </xf>
    <xf numFmtId="0" fontId="10" fillId="0" borderId="14" xfId="0" applyFont="1" applyBorder="1"/>
    <xf numFmtId="0" fontId="0" fillId="0" borderId="14" xfId="0" applyBorder="1"/>
    <xf numFmtId="4" fontId="10" fillId="0" borderId="14" xfId="0" applyNumberFormat="1" applyFont="1" applyBorder="1"/>
    <xf numFmtId="2" fontId="6" fillId="0" borderId="14" xfId="0" applyNumberFormat="1" applyFont="1" applyBorder="1"/>
    <xf numFmtId="0" fontId="10" fillId="0" borderId="17" xfId="0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17" borderId="0" xfId="0" applyFont="1" applyFill="1" applyAlignment="1">
      <alignment horizontal="center"/>
    </xf>
    <xf numFmtId="3" fontId="9" fillId="0" borderId="3" xfId="0" applyNumberFormat="1" applyFont="1" applyBorder="1" applyAlignment="1">
      <alignment horizontal="left"/>
    </xf>
    <xf numFmtId="164" fontId="26" fillId="0" borderId="22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23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left"/>
    </xf>
    <xf numFmtId="164" fontId="26" fillId="0" borderId="25" xfId="0" applyNumberFormat="1" applyFont="1" applyBorder="1" applyAlignment="1">
      <alignment horizontal="center"/>
    </xf>
    <xf numFmtId="3" fontId="26" fillId="0" borderId="15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4" fontId="9" fillId="0" borderId="25" xfId="0" applyNumberFormat="1" applyFont="1" applyBorder="1" applyAlignment="1">
      <alignment horizontal="left"/>
    </xf>
    <xf numFmtId="4" fontId="9" fillId="0" borderId="15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169" fontId="18" fillId="0" borderId="3" xfId="0" applyNumberFormat="1" applyFont="1" applyBorder="1" applyAlignment="1">
      <alignment horizontal="center"/>
    </xf>
    <xf numFmtId="4" fontId="9" fillId="2" borderId="0" xfId="0" applyNumberFormat="1" applyFont="1" applyFill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169" fontId="9" fillId="0" borderId="3" xfId="0" applyNumberFormat="1" applyFont="1" applyBorder="1" applyAlignment="1">
      <alignment horizontal="center"/>
    </xf>
    <xf numFmtId="169" fontId="9" fillId="2" borderId="3" xfId="0" applyNumberFormat="1" applyFont="1" applyFill="1" applyBorder="1" applyAlignment="1">
      <alignment horizontal="center"/>
    </xf>
    <xf numFmtId="169" fontId="18" fillId="2" borderId="3" xfId="0" applyNumberFormat="1" applyFont="1" applyFill="1" applyBorder="1" applyAlignment="1">
      <alignment horizontal="center"/>
    </xf>
    <xf numFmtId="169" fontId="14" fillId="0" borderId="15" xfId="0" applyNumberFormat="1" applyFont="1" applyBorder="1" applyAlignment="1">
      <alignment horizontal="center"/>
    </xf>
    <xf numFmtId="169" fontId="14" fillId="0" borderId="0" xfId="0" applyNumberFormat="1" applyFont="1" applyAlignment="1">
      <alignment horizontal="center"/>
    </xf>
    <xf numFmtId="0" fontId="10" fillId="18" borderId="25" xfId="0" applyFont="1" applyFill="1" applyBorder="1" applyAlignment="1">
      <alignment horizontal="center"/>
    </xf>
    <xf numFmtId="0" fontId="10" fillId="18" borderId="1" xfId="0" applyFont="1" applyFill="1" applyBorder="1" applyAlignment="1">
      <alignment horizontal="center"/>
    </xf>
    <xf numFmtId="3" fontId="10" fillId="18" borderId="1" xfId="0" applyNumberFormat="1" applyFont="1" applyFill="1" applyBorder="1" applyAlignment="1">
      <alignment horizontal="center"/>
    </xf>
    <xf numFmtId="1" fontId="12" fillId="18" borderId="1" xfId="0" applyNumberFormat="1" applyFont="1" applyFill="1" applyBorder="1" applyAlignment="1">
      <alignment horizontal="center"/>
    </xf>
    <xf numFmtId="2" fontId="10" fillId="18" borderId="1" xfId="0" applyNumberFormat="1" applyFont="1" applyFill="1" applyBorder="1" applyAlignment="1">
      <alignment horizontal="center"/>
    </xf>
    <xf numFmtId="0" fontId="13" fillId="18" borderId="1" xfId="0" applyFont="1" applyFill="1" applyBorder="1" applyAlignment="1">
      <alignment horizontal="center"/>
    </xf>
    <xf numFmtId="2" fontId="13" fillId="18" borderId="1" xfId="0" applyNumberFormat="1" applyFont="1" applyFill="1" applyBorder="1" applyAlignment="1">
      <alignment horizontal="center"/>
    </xf>
    <xf numFmtId="0" fontId="12" fillId="18" borderId="1" xfId="0" applyFont="1" applyFill="1" applyBorder="1" applyAlignment="1">
      <alignment horizontal="center"/>
    </xf>
    <xf numFmtId="0" fontId="6" fillId="18" borderId="1" xfId="0" applyFont="1" applyFill="1" applyBorder="1" applyAlignment="1">
      <alignment horizontal="center"/>
    </xf>
    <xf numFmtId="4" fontId="10" fillId="19" borderId="1" xfId="0" applyNumberFormat="1" applyFont="1" applyFill="1" applyBorder="1" applyAlignment="1">
      <alignment horizontal="center"/>
    </xf>
    <xf numFmtId="3" fontId="10" fillId="19" borderId="1" xfId="0" applyNumberFormat="1" applyFont="1" applyFill="1" applyBorder="1" applyAlignment="1">
      <alignment horizontal="center"/>
    </xf>
    <xf numFmtId="3" fontId="10" fillId="19" borderId="25" xfId="0" applyNumberFormat="1" applyFont="1" applyFill="1" applyBorder="1" applyAlignment="1">
      <alignment horizontal="center"/>
    </xf>
    <xf numFmtId="4" fontId="6" fillId="19" borderId="1" xfId="0" applyNumberFormat="1" applyFont="1" applyFill="1" applyBorder="1" applyAlignment="1">
      <alignment horizontal="center"/>
    </xf>
    <xf numFmtId="3" fontId="6" fillId="19" borderId="1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left"/>
    </xf>
    <xf numFmtId="3" fontId="9" fillId="18" borderId="3" xfId="0" applyNumberFormat="1" applyFont="1" applyFill="1" applyBorder="1" applyAlignment="1">
      <alignment horizontal="left"/>
    </xf>
    <xf numFmtId="3" fontId="9" fillId="18" borderId="3" xfId="0" applyNumberFormat="1" applyFont="1" applyFill="1" applyBorder="1" applyAlignment="1">
      <alignment horizontal="center"/>
    </xf>
    <xf numFmtId="3" fontId="9" fillId="18" borderId="2" xfId="0" applyNumberFormat="1" applyFont="1" applyFill="1" applyBorder="1" applyAlignment="1">
      <alignment horizontal="center"/>
    </xf>
    <xf numFmtId="4" fontId="9" fillId="18" borderId="3" xfId="0" applyNumberFormat="1" applyFont="1" applyFill="1" applyBorder="1" applyAlignment="1">
      <alignment horizontal="left"/>
    </xf>
    <xf numFmtId="0" fontId="9" fillId="0" borderId="1" xfId="2" applyFont="1" applyBorder="1" applyAlignment="1">
      <alignment horizontal="center" vertical="center"/>
    </xf>
    <xf numFmtId="3" fontId="21" fillId="16" borderId="13" xfId="0" applyNumberFormat="1" applyFont="1" applyFill="1" applyBorder="1" applyAlignment="1">
      <alignment horizontal="left" vertical="center"/>
    </xf>
    <xf numFmtId="165" fontId="17" fillId="0" borderId="13" xfId="0" applyNumberFormat="1" applyFont="1" applyBorder="1" applyAlignment="1">
      <alignment horizontal="left"/>
    </xf>
    <xf numFmtId="165" fontId="9" fillId="0" borderId="13" xfId="0" applyNumberFormat="1" applyFont="1" applyBorder="1" applyAlignment="1">
      <alignment horizontal="left"/>
    </xf>
    <xf numFmtId="9" fontId="9" fillId="0" borderId="13" xfId="1" applyFont="1" applyBorder="1" applyAlignment="1">
      <alignment horizontal="left"/>
    </xf>
    <xf numFmtId="170" fontId="9" fillId="0" borderId="13" xfId="1" applyNumberFormat="1" applyFont="1" applyBorder="1" applyAlignment="1">
      <alignment horizontal="left"/>
    </xf>
    <xf numFmtId="3" fontId="21" fillId="4" borderId="13" xfId="0" applyNumberFormat="1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9" fontId="10" fillId="19" borderId="25" xfId="1" applyFont="1" applyFill="1" applyBorder="1" applyAlignment="1">
      <alignment horizontal="center"/>
    </xf>
    <xf numFmtId="9" fontId="21" fillId="4" borderId="13" xfId="1" applyFont="1" applyFill="1" applyBorder="1" applyAlignment="1">
      <alignment horizontal="center"/>
    </xf>
    <xf numFmtId="9" fontId="6" fillId="7" borderId="13" xfId="1" applyFont="1" applyFill="1" applyBorder="1" applyAlignment="1">
      <alignment horizontal="center"/>
    </xf>
    <xf numFmtId="9" fontId="6" fillId="16" borderId="13" xfId="1" applyFont="1" applyFill="1" applyBorder="1" applyAlignment="1">
      <alignment horizontal="center" vertical="center"/>
    </xf>
    <xf numFmtId="3" fontId="6" fillId="7" borderId="13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21" fillId="16" borderId="13" xfId="0" applyNumberFormat="1" applyFont="1" applyFill="1" applyBorder="1" applyAlignment="1">
      <alignment horizontal="center" vertical="center"/>
    </xf>
    <xf numFmtId="170" fontId="10" fillId="19" borderId="25" xfId="1" applyNumberFormat="1" applyFont="1" applyFill="1" applyBorder="1" applyAlignment="1">
      <alignment horizontal="center"/>
    </xf>
    <xf numFmtId="0" fontId="21" fillId="3" borderId="30" xfId="0" applyFont="1" applyFill="1" applyBorder="1" applyAlignment="1">
      <alignment horizontal="left" vertical="center"/>
    </xf>
    <xf numFmtId="0" fontId="21" fillId="3" borderId="29" xfId="0" applyFont="1" applyFill="1" applyBorder="1" applyAlignment="1">
      <alignment horizontal="left" vertical="center"/>
    </xf>
    <xf numFmtId="0" fontId="10" fillId="0" borderId="15" xfId="0" applyFont="1" applyBorder="1"/>
    <xf numFmtId="0" fontId="21" fillId="3" borderId="27" xfId="0" applyFont="1" applyFill="1" applyBorder="1" applyAlignment="1">
      <alignment horizontal="left" vertical="center"/>
    </xf>
    <xf numFmtId="0" fontId="21" fillId="3" borderId="27" xfId="0" applyFont="1" applyFill="1" applyBorder="1" applyAlignment="1">
      <alignment horizontal="center" vertical="center"/>
    </xf>
    <xf numFmtId="3" fontId="10" fillId="19" borderId="1" xfId="0" applyNumberFormat="1" applyFont="1" applyFill="1" applyBorder="1" applyAlignment="1">
      <alignment horizontal="left"/>
    </xf>
    <xf numFmtId="9" fontId="10" fillId="19" borderId="1" xfId="1" applyFont="1" applyFill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3" fontId="10" fillId="0" borderId="0" xfId="0" applyNumberFormat="1" applyFont="1"/>
    <xf numFmtId="0" fontId="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21" fillId="3" borderId="1" xfId="0" applyFont="1" applyFill="1" applyBorder="1" applyAlignment="1">
      <alignment horizontal="left" vertical="center" wrapText="1"/>
    </xf>
    <xf numFmtId="0" fontId="20" fillId="9" borderId="15" xfId="0" applyFont="1" applyFill="1" applyBorder="1" applyAlignment="1">
      <alignment vertical="center"/>
    </xf>
    <xf numFmtId="0" fontId="20" fillId="8" borderId="15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center" vertical="center" wrapText="1"/>
    </xf>
    <xf numFmtId="3" fontId="31" fillId="0" borderId="15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20" fillId="10" borderId="15" xfId="0" applyFont="1" applyFill="1" applyBorder="1" applyAlignment="1">
      <alignment vertical="center"/>
    </xf>
    <xf numFmtId="0" fontId="9" fillId="20" borderId="3" xfId="0" applyFont="1" applyFill="1" applyBorder="1"/>
    <xf numFmtId="165" fontId="6" fillId="0" borderId="15" xfId="0" applyNumberFormat="1" applyFont="1" applyBorder="1" applyAlignment="1">
      <alignment horizontal="center"/>
    </xf>
    <xf numFmtId="9" fontId="14" fillId="0" borderId="4" xfId="1" applyFont="1" applyBorder="1" applyAlignment="1">
      <alignment horizontal="center" vertical="center"/>
    </xf>
    <xf numFmtId="170" fontId="9" fillId="0" borderId="3" xfId="1" applyNumberFormat="1" applyFont="1" applyBorder="1" applyAlignment="1">
      <alignment horizontal="center"/>
    </xf>
    <xf numFmtId="0" fontId="14" fillId="0" borderId="15" xfId="0" applyFont="1" applyBorder="1"/>
    <xf numFmtId="167" fontId="14" fillId="0" borderId="15" xfId="0" applyNumberFormat="1" applyFont="1" applyBorder="1" applyAlignment="1">
      <alignment horizontal="left"/>
    </xf>
    <xf numFmtId="167" fontId="14" fillId="0" borderId="3" xfId="0" applyNumberFormat="1" applyFont="1" applyBorder="1" applyAlignment="1">
      <alignment horizontal="left"/>
    </xf>
    <xf numFmtId="0" fontId="18" fillId="0" borderId="15" xfId="0" applyFont="1" applyBorder="1"/>
    <xf numFmtId="0" fontId="17" fillId="0" borderId="3" xfId="0" applyFont="1" applyBorder="1"/>
    <xf numFmtId="165" fontId="18" fillId="0" borderId="15" xfId="0" applyNumberFormat="1" applyFont="1" applyBorder="1" applyAlignment="1">
      <alignment horizontal="left"/>
    </xf>
    <xf numFmtId="167" fontId="17" fillId="0" borderId="3" xfId="0" applyNumberFormat="1" applyFont="1" applyBorder="1" applyAlignment="1">
      <alignment horizontal="left"/>
    </xf>
    <xf numFmtId="0" fontId="9" fillId="20" borderId="13" xfId="0" applyFont="1" applyFill="1" applyBorder="1"/>
    <xf numFmtId="165" fontId="14" fillId="0" borderId="15" xfId="0" applyNumberFormat="1" applyFont="1" applyBorder="1" applyAlignment="1">
      <alignment horizontal="left"/>
    </xf>
    <xf numFmtId="165" fontId="14" fillId="0" borderId="3" xfId="0" applyNumberFormat="1" applyFont="1" applyBorder="1" applyAlignment="1">
      <alignment horizontal="left"/>
    </xf>
    <xf numFmtId="165" fontId="17" fillId="0" borderId="0" xfId="0" applyNumberFormat="1" applyFont="1" applyAlignment="1">
      <alignment horizontal="left"/>
    </xf>
    <xf numFmtId="165" fontId="17" fillId="0" borderId="3" xfId="0" applyNumberFormat="1" applyFont="1" applyBorder="1" applyAlignment="1">
      <alignment horizontal="left"/>
    </xf>
    <xf numFmtId="0" fontId="9" fillId="3" borderId="8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5" fillId="6" borderId="0" xfId="2" applyFont="1" applyFill="1" applyAlignment="1">
      <alignment horizontal="center"/>
    </xf>
    <xf numFmtId="0" fontId="23" fillId="0" borderId="0" xfId="0" applyFont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9" fillId="12" borderId="30" xfId="0" applyFont="1" applyFill="1" applyBorder="1" applyAlignment="1">
      <alignment horizontal="center" vertical="center"/>
    </xf>
    <xf numFmtId="10" fontId="11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0" fontId="2" fillId="0" borderId="0" xfId="0" applyFont="1"/>
    <xf numFmtId="3" fontId="12" fillId="19" borderId="1" xfId="0" applyNumberFormat="1" applyFont="1" applyFill="1" applyBorder="1" applyAlignment="1">
      <alignment horizontal="left"/>
    </xf>
    <xf numFmtId="3" fontId="9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left"/>
    </xf>
  </cellXfs>
  <cellStyles count="7">
    <cellStyle name="Comma 3" xfId="6" xr:uid="{0CCAD724-3CAC-4591-8E5D-2669E302B80E}"/>
    <cellStyle name="Normal" xfId="0" builtinId="0"/>
    <cellStyle name="Normal 2" xfId="2" xr:uid="{80B306F6-3A71-4660-8E4E-3776E4C64991}"/>
    <cellStyle name="Normal 2 2" xfId="4" xr:uid="{EF43E4C2-CEDA-46E9-9A3B-125988040714}"/>
    <cellStyle name="Normal 4" xfId="5" xr:uid="{F35E11B4-A08B-450D-9493-24C8A19D6D02}"/>
    <cellStyle name="Percent" xfId="1" builtinId="5"/>
    <cellStyle name="Percent 2" xfId="3" xr:uid="{E33DBF29-293B-4C03-9E74-2A803D89A9A6}"/>
  </cellStyles>
  <dxfs count="25"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6969"/>
      <color rgb="FFF8CBAD"/>
      <color rgb="FF59D559"/>
      <color rgb="FFFFAFAF"/>
      <color rgb="FF00B050"/>
      <color rgb="FF00D25F"/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BDP/201412%20individual%20account/Consolidation%20FS%20for%20BDP%20Group_December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 BS"/>
      <sheetName val="Consol PL"/>
      <sheetName val="Cashflow"/>
      <sheetName val="Consol BS by companies"/>
      <sheetName val="Monthly BS"/>
      <sheetName val="Total BS"/>
      <sheetName val="Consol YTD PL by companies"/>
      <sheetName val="Consol PL by companies"/>
      <sheetName val="Total PL"/>
      <sheetName val="Consol PL by Month"/>
      <sheetName val="PL for period"/>
      <sheetName val="Extraordinary income"/>
      <sheetName val="Extraordinary expenses"/>
      <sheetName val="Consol Adjustment1"/>
      <sheetName val="Consol Adjustment"/>
      <sheetName val="Transaction reserves"/>
      <sheetName val="Land expenses"/>
      <sheetName val="Farms GPE Adj."/>
      <sheetName val="Salary for Wei"/>
      <sheetName val="Note 1"/>
      <sheetName val="Note 1 Details"/>
      <sheetName val="Note 2"/>
      <sheetName val="Note 2 Details"/>
      <sheetName val="Note 3"/>
      <sheetName val="Note 3 details"/>
      <sheetName val="Note 4"/>
      <sheetName val="Note 4 details"/>
      <sheetName val="Note 5"/>
      <sheetName val="Note 5 details"/>
      <sheetName val="Note 5A"/>
      <sheetName val="Note 5A Details"/>
      <sheetName val="Note 6"/>
      <sheetName val="Note 6 Details in USD"/>
      <sheetName val="Note 6 Details in standard curr"/>
      <sheetName val="Note 6 Land&amp;BldgRevalue"/>
      <sheetName val="Note 6 Land value adj"/>
      <sheetName val="Note 7"/>
      <sheetName val="Note 7 Details"/>
      <sheetName val="Note 7A"/>
      <sheetName val="Note7A Details"/>
      <sheetName val="Note 8"/>
      <sheetName val="Note 8 Details"/>
      <sheetName val="Note 9"/>
      <sheetName val="Note 9 Details"/>
      <sheetName val="Note 10"/>
      <sheetName val="Note 10A Share reconcile"/>
      <sheetName val="Sheet1"/>
      <sheetName val="Note 10A Details"/>
      <sheetName val="Note 11"/>
      <sheetName val="Note 12"/>
      <sheetName val="Note 13"/>
      <sheetName val="Note 14"/>
      <sheetName val="Note 15"/>
      <sheetName val="Note 16"/>
      <sheetName val="Note 17"/>
      <sheetName val="Note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>
            <v>6.1189999999999998</v>
          </cell>
          <cell r="D2">
            <v>7.7564000000000002</v>
          </cell>
          <cell r="F2">
            <v>21.3154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09DA-8ED4-4CB1-BCC5-14F82D3A29F1}">
  <sheetPr>
    <tabColor rgb="FF2FBB2F"/>
  </sheetPr>
  <dimension ref="B3:Y42"/>
  <sheetViews>
    <sheetView showGridLines="0" topLeftCell="L1" zoomScaleNormal="100" workbookViewId="0">
      <selection activeCell="V17" sqref="V17"/>
    </sheetView>
  </sheetViews>
  <sheetFormatPr defaultColWidth="9.1796875" defaultRowHeight="15.5"/>
  <cols>
    <col min="1" max="1" width="2.453125" style="47" customWidth="1"/>
    <col min="2" max="2" width="44.26953125" style="47" customWidth="1"/>
    <col min="3" max="3" width="14.26953125" style="55" bestFit="1" customWidth="1"/>
    <col min="4" max="4" width="7" style="47" customWidth="1"/>
    <col min="5" max="5" width="34.1796875" style="47" customWidth="1"/>
    <col min="6" max="6" width="70.1796875" style="47" customWidth="1"/>
    <col min="7" max="7" width="9" style="55" customWidth="1"/>
    <col min="8" max="8" width="26" style="55" customWidth="1"/>
    <col min="9" max="9" width="7" style="47" customWidth="1"/>
    <col min="10" max="10" width="20.453125" style="47" customWidth="1"/>
    <col min="11" max="11" width="8.54296875" style="47" customWidth="1"/>
    <col min="12" max="12" width="21.26953125" style="47" customWidth="1"/>
    <col min="13" max="13" width="58" style="47" customWidth="1"/>
    <col min="14" max="14" width="10.453125" style="47" customWidth="1"/>
    <col min="15" max="15" width="27.1796875" style="47" customWidth="1"/>
    <col min="16" max="16" width="14.453125" style="47" customWidth="1"/>
    <col min="17" max="17" width="7" style="47" customWidth="1"/>
    <col min="18" max="18" width="20.81640625" style="47" customWidth="1"/>
    <col min="19" max="19" width="13.54296875" style="47" customWidth="1"/>
    <col min="20" max="20" width="11.54296875" style="47" customWidth="1"/>
    <col min="21" max="21" width="16.54296875" style="47" customWidth="1"/>
    <col min="22" max="22" width="14.1796875" style="47" customWidth="1"/>
    <col min="23" max="23" width="9.1796875" style="47"/>
    <col min="24" max="24" width="18.1796875" style="47" customWidth="1"/>
    <col min="25" max="25" width="14.54296875" style="47" customWidth="1"/>
    <col min="26" max="16384" width="9.1796875" style="47"/>
  </cols>
  <sheetData>
    <row r="3" spans="2:25">
      <c r="B3" s="272" t="s">
        <v>34</v>
      </c>
      <c r="C3" s="272"/>
      <c r="E3" s="272" t="s">
        <v>55</v>
      </c>
      <c r="F3" s="272"/>
      <c r="G3" s="272"/>
      <c r="H3" s="272"/>
      <c r="I3" s="272"/>
      <c r="J3" s="272"/>
      <c r="K3" s="272"/>
      <c r="L3" s="272"/>
      <c r="M3" s="272"/>
      <c r="N3" s="272"/>
      <c r="O3" s="272"/>
      <c r="R3" s="272" t="s">
        <v>35</v>
      </c>
      <c r="S3" s="272"/>
      <c r="T3" s="272"/>
      <c r="U3" s="272"/>
      <c r="V3" s="272"/>
      <c r="W3" s="272"/>
      <c r="X3" s="272"/>
      <c r="Y3" s="272"/>
    </row>
    <row r="4" spans="2:25" ht="16" thickBot="1">
      <c r="B4" s="98"/>
      <c r="E4" s="98"/>
      <c r="F4" s="98"/>
      <c r="G4" s="77"/>
    </row>
    <row r="5" spans="2:25" ht="16" thickBot="1">
      <c r="B5" s="99" t="s">
        <v>36</v>
      </c>
      <c r="C5" s="79" t="s">
        <v>37</v>
      </c>
      <c r="E5" s="140" t="s">
        <v>131</v>
      </c>
      <c r="F5" s="99" t="s">
        <v>129</v>
      </c>
      <c r="H5" s="140" t="s">
        <v>160</v>
      </c>
      <c r="I5" s="244">
        <v>0.02</v>
      </c>
      <c r="P5" s="77"/>
      <c r="Q5" s="78"/>
    </row>
    <row r="6" spans="2:25">
      <c r="B6" s="81" t="s">
        <v>38</v>
      </c>
      <c r="C6" s="82">
        <v>5</v>
      </c>
      <c r="E6" s="37" t="s">
        <v>120</v>
      </c>
      <c r="F6" s="141">
        <v>90</v>
      </c>
      <c r="P6" s="55"/>
    </row>
    <row r="7" spans="2:25">
      <c r="B7" s="87" t="s">
        <v>48</v>
      </c>
      <c r="C7" s="88">
        <v>0.2</v>
      </c>
      <c r="E7" s="87" t="s">
        <v>130</v>
      </c>
      <c r="F7" s="142">
        <v>100</v>
      </c>
      <c r="P7" s="92"/>
    </row>
    <row r="8" spans="2:25">
      <c r="B8" s="87" t="s">
        <v>41</v>
      </c>
      <c r="C8" s="94">
        <v>5</v>
      </c>
      <c r="E8" s="87" t="s">
        <v>128</v>
      </c>
      <c r="F8" s="143">
        <v>120</v>
      </c>
      <c r="P8" s="92"/>
    </row>
    <row r="9" spans="2:25">
      <c r="B9" s="87" t="s">
        <v>42</v>
      </c>
      <c r="C9" s="95">
        <v>1000000</v>
      </c>
      <c r="T9" s="96"/>
    </row>
    <row r="10" spans="2:25">
      <c r="B10" s="87" t="s">
        <v>43</v>
      </c>
      <c r="C10" s="88">
        <v>0.25</v>
      </c>
    </row>
    <row r="11" spans="2:25">
      <c r="B11" s="87" t="s">
        <v>44</v>
      </c>
      <c r="C11" s="88">
        <v>0.4</v>
      </c>
    </row>
    <row r="12" spans="2:25" ht="18">
      <c r="B12" s="87" t="s">
        <v>45</v>
      </c>
      <c r="C12" s="95">
        <v>15</v>
      </c>
      <c r="E12" s="144" t="s">
        <v>132</v>
      </c>
      <c r="R12" s="144" t="s">
        <v>132</v>
      </c>
      <c r="T12" s="97"/>
    </row>
    <row r="13" spans="2:25" ht="16" thickBot="1"/>
    <row r="14" spans="2:25" ht="16" thickBot="1">
      <c r="E14" s="268" t="s">
        <v>52</v>
      </c>
      <c r="F14" s="264" t="s">
        <v>56</v>
      </c>
      <c r="G14" s="266" t="s">
        <v>13</v>
      </c>
      <c r="H14" s="270" t="s">
        <v>57</v>
      </c>
      <c r="J14" s="262" t="s">
        <v>52</v>
      </c>
      <c r="K14" s="268" t="s">
        <v>59</v>
      </c>
      <c r="L14" s="262" t="s">
        <v>60</v>
      </c>
      <c r="M14" s="264" t="s">
        <v>56</v>
      </c>
      <c r="N14" s="266" t="s">
        <v>13</v>
      </c>
      <c r="O14" s="260" t="s">
        <v>58</v>
      </c>
      <c r="R14" s="260" t="s">
        <v>52</v>
      </c>
      <c r="S14" s="258" t="s">
        <v>106</v>
      </c>
      <c r="T14" s="259"/>
      <c r="U14" s="258" t="s">
        <v>61</v>
      </c>
      <c r="V14" s="259"/>
      <c r="X14" s="80" t="s">
        <v>96</v>
      </c>
      <c r="Y14" s="80" t="s">
        <v>97</v>
      </c>
    </row>
    <row r="15" spans="2:25" ht="16" thickBot="1">
      <c r="E15" s="269"/>
      <c r="F15" s="265"/>
      <c r="G15" s="267"/>
      <c r="H15" s="271"/>
      <c r="J15" s="263"/>
      <c r="K15" s="269"/>
      <c r="L15" s="263"/>
      <c r="M15" s="265"/>
      <c r="N15" s="267"/>
      <c r="O15" s="261"/>
      <c r="R15" s="261"/>
      <c r="S15" s="83" t="s">
        <v>13</v>
      </c>
      <c r="T15" s="84" t="s">
        <v>40</v>
      </c>
      <c r="U15" s="85" t="s">
        <v>13</v>
      </c>
      <c r="V15" s="84" t="s">
        <v>40</v>
      </c>
      <c r="X15" s="81" t="s">
        <v>32</v>
      </c>
      <c r="Y15" s="86">
        <v>30</v>
      </c>
    </row>
    <row r="16" spans="2:25">
      <c r="E16" s="81" t="s">
        <v>49</v>
      </c>
      <c r="F16" s="81" t="s">
        <v>51</v>
      </c>
      <c r="G16" s="86" t="s">
        <v>14</v>
      </c>
      <c r="H16" s="89">
        <v>45</v>
      </c>
      <c r="J16" s="87" t="s">
        <v>49</v>
      </c>
      <c r="K16" s="90">
        <v>1</v>
      </c>
      <c r="L16" s="100">
        <f>$V$16*(1-$I$5)</f>
        <v>98</v>
      </c>
      <c r="M16" s="87" t="s">
        <v>54</v>
      </c>
      <c r="N16" s="90" t="s">
        <v>14</v>
      </c>
      <c r="O16" s="91">
        <f>H18*L16</f>
        <v>4586.4000000000005</v>
      </c>
      <c r="R16" s="81" t="s">
        <v>49</v>
      </c>
      <c r="S16" s="86" t="s">
        <v>14</v>
      </c>
      <c r="T16" s="93">
        <f>V16*H18</f>
        <v>4680</v>
      </c>
      <c r="U16" s="86" t="s">
        <v>62</v>
      </c>
      <c r="V16" s="93">
        <v>100</v>
      </c>
      <c r="X16" s="87" t="s">
        <v>33</v>
      </c>
      <c r="Y16" s="90">
        <v>26</v>
      </c>
    </row>
    <row r="17" spans="5:25">
      <c r="E17" s="81" t="s">
        <v>49</v>
      </c>
      <c r="F17" s="81" t="s">
        <v>53</v>
      </c>
      <c r="G17" s="90" t="s">
        <v>14</v>
      </c>
      <c r="H17" s="90">
        <f>F6</f>
        <v>90</v>
      </c>
      <c r="J17" s="87" t="s">
        <v>49</v>
      </c>
      <c r="K17" s="90">
        <v>1</v>
      </c>
      <c r="L17" s="100">
        <f t="shared" ref="L17:L18" si="0">$V$16*(1-$I$5)</f>
        <v>98</v>
      </c>
      <c r="M17" s="87" t="s">
        <v>105</v>
      </c>
      <c r="N17" s="90" t="s">
        <v>14</v>
      </c>
      <c r="O17" s="91">
        <f>H19*L17</f>
        <v>3210.48</v>
      </c>
    </row>
    <row r="18" spans="5:25">
      <c r="E18" s="81" t="s">
        <v>49</v>
      </c>
      <c r="F18" s="87" t="s">
        <v>54</v>
      </c>
      <c r="G18" s="90" t="s">
        <v>14</v>
      </c>
      <c r="H18" s="90">
        <f>H17*52%</f>
        <v>46.800000000000004</v>
      </c>
      <c r="J18" s="87" t="s">
        <v>49</v>
      </c>
      <c r="K18" s="90">
        <v>1</v>
      </c>
      <c r="L18" s="100">
        <f t="shared" si="0"/>
        <v>98</v>
      </c>
      <c r="M18" s="87" t="s">
        <v>153</v>
      </c>
      <c r="N18" s="90" t="s">
        <v>14</v>
      </c>
      <c r="O18" s="91">
        <f>H20*L18</f>
        <v>1375.92</v>
      </c>
    </row>
    <row r="19" spans="5:25">
      <c r="E19" s="87" t="s">
        <v>49</v>
      </c>
      <c r="F19" s="87" t="s">
        <v>105</v>
      </c>
      <c r="G19" s="90" t="s">
        <v>14</v>
      </c>
      <c r="H19" s="90">
        <f>H18*70%</f>
        <v>32.76</v>
      </c>
    </row>
    <row r="20" spans="5:25">
      <c r="E20" s="87" t="s">
        <v>49</v>
      </c>
      <c r="F20" s="87" t="s">
        <v>153</v>
      </c>
      <c r="G20" s="90" t="s">
        <v>14</v>
      </c>
      <c r="H20" s="90">
        <f>H18*30%</f>
        <v>14.040000000000001</v>
      </c>
    </row>
    <row r="21" spans="5:25">
      <c r="E21"/>
      <c r="F21"/>
      <c r="G21"/>
      <c r="H21"/>
    </row>
    <row r="22" spans="5:25">
      <c r="E22"/>
      <c r="F22"/>
      <c r="G22"/>
      <c r="H22"/>
    </row>
    <row r="23" spans="5:25" ht="18">
      <c r="E23" s="144" t="s">
        <v>133</v>
      </c>
      <c r="R23" s="144" t="s">
        <v>133</v>
      </c>
    </row>
    <row r="24" spans="5:25" ht="16" thickBot="1"/>
    <row r="25" spans="5:25" ht="19.5" customHeight="1" thickBot="1">
      <c r="E25" s="268" t="s">
        <v>52</v>
      </c>
      <c r="F25" s="264" t="s">
        <v>56</v>
      </c>
      <c r="G25" s="266" t="s">
        <v>13</v>
      </c>
      <c r="H25" s="270" t="s">
        <v>57</v>
      </c>
      <c r="J25" s="262" t="s">
        <v>52</v>
      </c>
      <c r="K25" s="268" t="s">
        <v>59</v>
      </c>
      <c r="L25" s="262" t="s">
        <v>60</v>
      </c>
      <c r="M25" s="264" t="s">
        <v>56</v>
      </c>
      <c r="N25" s="266" t="s">
        <v>13</v>
      </c>
      <c r="O25" s="260" t="s">
        <v>58</v>
      </c>
      <c r="R25" s="260" t="s">
        <v>52</v>
      </c>
      <c r="S25" s="258" t="s">
        <v>106</v>
      </c>
      <c r="T25" s="259"/>
      <c r="U25" s="258" t="s">
        <v>61</v>
      </c>
      <c r="V25" s="259"/>
      <c r="X25" s="80" t="s">
        <v>96</v>
      </c>
      <c r="Y25" s="80" t="s">
        <v>97</v>
      </c>
    </row>
    <row r="26" spans="5:25" ht="19.5" customHeight="1" thickBot="1">
      <c r="E26" s="269"/>
      <c r="F26" s="265"/>
      <c r="G26" s="267"/>
      <c r="H26" s="271"/>
      <c r="J26" s="263"/>
      <c r="K26" s="269"/>
      <c r="L26" s="263"/>
      <c r="M26" s="265"/>
      <c r="N26" s="267"/>
      <c r="O26" s="261"/>
      <c r="R26" s="261"/>
      <c r="S26" s="83" t="s">
        <v>13</v>
      </c>
      <c r="T26" s="84" t="s">
        <v>40</v>
      </c>
      <c r="U26" s="85" t="s">
        <v>13</v>
      </c>
      <c r="V26" s="84" t="s">
        <v>40</v>
      </c>
      <c r="X26" s="81" t="s">
        <v>32</v>
      </c>
      <c r="Y26" s="86">
        <v>30</v>
      </c>
    </row>
    <row r="27" spans="5:25">
      <c r="E27" s="81" t="s">
        <v>49</v>
      </c>
      <c r="F27" s="81" t="s">
        <v>51</v>
      </c>
      <c r="G27" s="86" t="s">
        <v>14</v>
      </c>
      <c r="H27" s="89">
        <v>45</v>
      </c>
      <c r="J27" s="87" t="s">
        <v>49</v>
      </c>
      <c r="K27" s="90">
        <v>1</v>
      </c>
      <c r="L27" s="100">
        <f>$V$27*(1-$I$5)</f>
        <v>98</v>
      </c>
      <c r="M27" s="87" t="s">
        <v>54</v>
      </c>
      <c r="N27" s="90" t="s">
        <v>14</v>
      </c>
      <c r="O27" s="91">
        <f>H29*L27</f>
        <v>5096</v>
      </c>
      <c r="R27" s="81" t="s">
        <v>49</v>
      </c>
      <c r="S27" s="86" t="s">
        <v>14</v>
      </c>
      <c r="T27" s="93">
        <f>V27*H29</f>
        <v>5200</v>
      </c>
      <c r="U27" s="86" t="s">
        <v>62</v>
      </c>
      <c r="V27" s="93">
        <f>V16</f>
        <v>100</v>
      </c>
      <c r="X27" s="87" t="s">
        <v>33</v>
      </c>
      <c r="Y27" s="90">
        <v>26</v>
      </c>
    </row>
    <row r="28" spans="5:25">
      <c r="E28" s="81" t="s">
        <v>49</v>
      </c>
      <c r="F28" s="81" t="s">
        <v>53</v>
      </c>
      <c r="G28" s="90" t="s">
        <v>14</v>
      </c>
      <c r="H28" s="142">
        <f>F7</f>
        <v>100</v>
      </c>
      <c r="J28" s="87" t="s">
        <v>49</v>
      </c>
      <c r="K28" s="90">
        <v>1</v>
      </c>
      <c r="L28" s="100">
        <f t="shared" ref="L28:L29" si="1">$V$27*(1-$I$5)</f>
        <v>98</v>
      </c>
      <c r="M28" s="87" t="s">
        <v>105</v>
      </c>
      <c r="N28" s="90" t="s">
        <v>14</v>
      </c>
      <c r="O28" s="91">
        <f>H30*L28</f>
        <v>3567.2</v>
      </c>
    </row>
    <row r="29" spans="5:25">
      <c r="E29" s="81" t="s">
        <v>49</v>
      </c>
      <c r="F29" s="87" t="s">
        <v>54</v>
      </c>
      <c r="G29" s="90" t="s">
        <v>14</v>
      </c>
      <c r="H29" s="90">
        <f>H28*0.52</f>
        <v>52</v>
      </c>
      <c r="J29" s="87" t="s">
        <v>49</v>
      </c>
      <c r="K29" s="90">
        <v>1</v>
      </c>
      <c r="L29" s="100">
        <f t="shared" si="1"/>
        <v>98</v>
      </c>
      <c r="M29" s="87" t="s">
        <v>153</v>
      </c>
      <c r="N29" s="90" t="s">
        <v>14</v>
      </c>
      <c r="O29" s="91">
        <f>H31*L29</f>
        <v>1528.8</v>
      </c>
    </row>
    <row r="30" spans="5:25">
      <c r="E30" s="87" t="s">
        <v>49</v>
      </c>
      <c r="F30" s="87" t="s">
        <v>105</v>
      </c>
      <c r="G30" s="90" t="s">
        <v>14</v>
      </c>
      <c r="H30" s="90">
        <f>H29*70%</f>
        <v>36.4</v>
      </c>
    </row>
    <row r="31" spans="5:25">
      <c r="E31" s="87" t="s">
        <v>49</v>
      </c>
      <c r="F31" s="87" t="s">
        <v>153</v>
      </c>
      <c r="G31" s="90" t="s">
        <v>14</v>
      </c>
      <c r="H31" s="90">
        <f>H29*30%</f>
        <v>15.6</v>
      </c>
    </row>
    <row r="34" spans="5:25" ht="18">
      <c r="E34" s="144" t="s">
        <v>134</v>
      </c>
      <c r="R34" s="144" t="s">
        <v>134</v>
      </c>
    </row>
    <row r="35" spans="5:25" ht="16" thickBot="1"/>
    <row r="36" spans="5:25" ht="16" thickBot="1">
      <c r="E36" s="268" t="s">
        <v>52</v>
      </c>
      <c r="F36" s="264" t="s">
        <v>56</v>
      </c>
      <c r="G36" s="266" t="s">
        <v>13</v>
      </c>
      <c r="H36" s="270" t="s">
        <v>57</v>
      </c>
      <c r="J36" s="262" t="s">
        <v>52</v>
      </c>
      <c r="K36" s="268" t="s">
        <v>59</v>
      </c>
      <c r="L36" s="262" t="s">
        <v>60</v>
      </c>
      <c r="M36" s="264" t="s">
        <v>56</v>
      </c>
      <c r="N36" s="266" t="s">
        <v>13</v>
      </c>
      <c r="O36" s="260" t="s">
        <v>58</v>
      </c>
      <c r="R36" s="260" t="s">
        <v>52</v>
      </c>
      <c r="S36" s="258" t="s">
        <v>106</v>
      </c>
      <c r="T36" s="259"/>
      <c r="U36" s="258" t="s">
        <v>61</v>
      </c>
      <c r="V36" s="259"/>
      <c r="X36" s="80" t="s">
        <v>96</v>
      </c>
      <c r="Y36" s="80" t="s">
        <v>97</v>
      </c>
    </row>
    <row r="37" spans="5:25" ht="16" thickBot="1">
      <c r="E37" s="269"/>
      <c r="F37" s="265"/>
      <c r="G37" s="267"/>
      <c r="H37" s="271"/>
      <c r="J37" s="263"/>
      <c r="K37" s="269"/>
      <c r="L37" s="263"/>
      <c r="M37" s="265"/>
      <c r="N37" s="267"/>
      <c r="O37" s="261"/>
      <c r="R37" s="261"/>
      <c r="S37" s="83" t="s">
        <v>13</v>
      </c>
      <c r="T37" s="84" t="s">
        <v>40</v>
      </c>
      <c r="U37" s="85" t="s">
        <v>13</v>
      </c>
      <c r="V37" s="84" t="s">
        <v>40</v>
      </c>
      <c r="X37" s="81" t="s">
        <v>32</v>
      </c>
      <c r="Y37" s="86">
        <v>30</v>
      </c>
    </row>
    <row r="38" spans="5:25">
      <c r="E38" s="81" t="s">
        <v>49</v>
      </c>
      <c r="F38" s="81" t="s">
        <v>51</v>
      </c>
      <c r="G38" s="86" t="s">
        <v>14</v>
      </c>
      <c r="H38" s="89">
        <v>45</v>
      </c>
      <c r="J38" s="87" t="s">
        <v>49</v>
      </c>
      <c r="K38" s="90">
        <v>1</v>
      </c>
      <c r="L38" s="100">
        <f>$V$38*(1-$I$5)</f>
        <v>98</v>
      </c>
      <c r="M38" s="87" t="s">
        <v>54</v>
      </c>
      <c r="N38" s="90" t="s">
        <v>14</v>
      </c>
      <c r="O38" s="91">
        <f>H40*L38</f>
        <v>6115.2000000000007</v>
      </c>
      <c r="R38" s="81" t="s">
        <v>49</v>
      </c>
      <c r="S38" s="86" t="s">
        <v>14</v>
      </c>
      <c r="T38" s="93">
        <f>V38*H40</f>
        <v>6240.0000000000009</v>
      </c>
      <c r="U38" s="86" t="s">
        <v>62</v>
      </c>
      <c r="V38" s="93">
        <f>V16</f>
        <v>100</v>
      </c>
      <c r="X38" s="87" t="s">
        <v>33</v>
      </c>
      <c r="Y38" s="90">
        <v>26</v>
      </c>
    </row>
    <row r="39" spans="5:25">
      <c r="E39" s="81" t="s">
        <v>49</v>
      </c>
      <c r="F39" s="81" t="s">
        <v>53</v>
      </c>
      <c r="G39" s="90" t="s">
        <v>14</v>
      </c>
      <c r="H39" s="207">
        <f>F8</f>
        <v>120</v>
      </c>
      <c r="J39" s="87" t="s">
        <v>49</v>
      </c>
      <c r="K39" s="90">
        <v>1</v>
      </c>
      <c r="L39" s="100">
        <f t="shared" ref="L39:L40" si="2">$V$38*(1-$I$5)</f>
        <v>98</v>
      </c>
      <c r="M39" s="87" t="s">
        <v>105</v>
      </c>
      <c r="N39" s="90" t="s">
        <v>14</v>
      </c>
      <c r="O39" s="91">
        <f>H41*L39</f>
        <v>4280.6400000000003</v>
      </c>
    </row>
    <row r="40" spans="5:25">
      <c r="E40" s="81" t="s">
        <v>49</v>
      </c>
      <c r="F40" s="87" t="s">
        <v>54</v>
      </c>
      <c r="G40" s="90" t="s">
        <v>14</v>
      </c>
      <c r="H40" s="90">
        <f>H39*0.52</f>
        <v>62.400000000000006</v>
      </c>
      <c r="J40" s="87" t="s">
        <v>49</v>
      </c>
      <c r="K40" s="90">
        <v>1</v>
      </c>
      <c r="L40" s="100">
        <f t="shared" si="2"/>
        <v>98</v>
      </c>
      <c r="M40" s="87" t="s">
        <v>153</v>
      </c>
      <c r="N40" s="90" t="s">
        <v>14</v>
      </c>
      <c r="O40" s="91">
        <f>H42*L40</f>
        <v>1834.5600000000002</v>
      </c>
    </row>
    <row r="41" spans="5:25">
      <c r="E41" s="87" t="s">
        <v>49</v>
      </c>
      <c r="F41" s="87" t="s">
        <v>105</v>
      </c>
      <c r="G41" s="90" t="s">
        <v>14</v>
      </c>
      <c r="H41" s="90">
        <f>H40*70%</f>
        <v>43.68</v>
      </c>
    </row>
    <row r="42" spans="5:25">
      <c r="E42" s="87" t="s">
        <v>49</v>
      </c>
      <c r="F42" s="87" t="s">
        <v>153</v>
      </c>
      <c r="G42" s="90" t="s">
        <v>14</v>
      </c>
      <c r="H42" s="90">
        <f>H40*30%</f>
        <v>18.720000000000002</v>
      </c>
    </row>
  </sheetData>
  <mergeCells count="42">
    <mergeCell ref="K14:K15"/>
    <mergeCell ref="L14:L15"/>
    <mergeCell ref="R3:Y3"/>
    <mergeCell ref="E3:O3"/>
    <mergeCell ref="B3:C3"/>
    <mergeCell ref="R14:R15"/>
    <mergeCell ref="S14:T14"/>
    <mergeCell ref="U14:V14"/>
    <mergeCell ref="M14:M15"/>
    <mergeCell ref="N14:N15"/>
    <mergeCell ref="O14:O15"/>
    <mergeCell ref="E14:E15"/>
    <mergeCell ref="F14:F15"/>
    <mergeCell ref="G14:G15"/>
    <mergeCell ref="H14:H15"/>
    <mergeCell ref="J14:J15"/>
    <mergeCell ref="K36:K37"/>
    <mergeCell ref="E25:E26"/>
    <mergeCell ref="F25:F26"/>
    <mergeCell ref="G25:G26"/>
    <mergeCell ref="H25:H26"/>
    <mergeCell ref="J25:J26"/>
    <mergeCell ref="K25:K26"/>
    <mergeCell ref="E36:E37"/>
    <mergeCell ref="F36:F37"/>
    <mergeCell ref="G36:G37"/>
    <mergeCell ref="H36:H37"/>
    <mergeCell ref="J36:J37"/>
    <mergeCell ref="U25:V25"/>
    <mergeCell ref="R36:R37"/>
    <mergeCell ref="S36:T36"/>
    <mergeCell ref="U36:V36"/>
    <mergeCell ref="L36:L37"/>
    <mergeCell ref="M36:M37"/>
    <mergeCell ref="N36:N37"/>
    <mergeCell ref="O36:O37"/>
    <mergeCell ref="R25:R26"/>
    <mergeCell ref="S25:T25"/>
    <mergeCell ref="L25:L26"/>
    <mergeCell ref="M25:M26"/>
    <mergeCell ref="N25:N26"/>
    <mergeCell ref="O25:O26"/>
  </mergeCells>
  <conditionalFormatting sqref="H17">
    <cfRule type="cellIs" dxfId="24" priority="7" operator="equal">
      <formula>120</formula>
    </cfRule>
    <cfRule type="cellIs" dxfId="23" priority="8" operator="equal">
      <formula>110</formula>
    </cfRule>
    <cfRule type="cellIs" dxfId="22" priority="9" operator="equal">
      <formula>90</formula>
    </cfRule>
  </conditionalFormatting>
  <conditionalFormatting sqref="H28">
    <cfRule type="cellIs" dxfId="21" priority="4" operator="equal">
      <formula>120</formula>
    </cfRule>
    <cfRule type="cellIs" dxfId="20" priority="5" operator="equal">
      <formula>110</formula>
    </cfRule>
    <cfRule type="cellIs" dxfId="19" priority="6" operator="equal">
      <formula>90</formula>
    </cfRule>
  </conditionalFormatting>
  <conditionalFormatting sqref="H39">
    <cfRule type="cellIs" dxfId="18" priority="1" operator="equal">
      <formula>120</formula>
    </cfRule>
    <cfRule type="cellIs" dxfId="17" priority="2" operator="equal">
      <formula>110</formula>
    </cfRule>
    <cfRule type="cellIs" dxfId="16" priority="3" operator="equal">
      <formula>90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2F94-BD07-4CE6-942E-526FB80B384A}">
  <sheetPr>
    <tabColor rgb="FF7030A0"/>
  </sheetPr>
  <dimension ref="B2:E34"/>
  <sheetViews>
    <sheetView showGridLines="0" topLeftCell="A6" zoomScaleNormal="100" workbookViewId="0">
      <selection activeCell="D34" sqref="D34"/>
    </sheetView>
  </sheetViews>
  <sheetFormatPr defaultColWidth="8.7265625" defaultRowHeight="15.5"/>
  <cols>
    <col min="1" max="1" width="3.54296875" style="34" customWidth="1"/>
    <col min="2" max="2" width="28" style="34" customWidth="1"/>
    <col min="3" max="4" width="20.54296875" style="60" customWidth="1"/>
    <col min="5" max="5" width="25.54296875" style="34" customWidth="1"/>
    <col min="6" max="16384" width="8.7265625" style="34"/>
  </cols>
  <sheetData>
    <row r="2" spans="2:5" ht="18">
      <c r="B2" s="283" t="s">
        <v>137</v>
      </c>
      <c r="C2" s="283"/>
      <c r="D2" s="283"/>
      <c r="E2" s="283"/>
    </row>
    <row r="4" spans="2:5">
      <c r="B4" s="64" t="s">
        <v>99</v>
      </c>
    </row>
    <row r="6" spans="2:5">
      <c r="B6" s="41" t="s">
        <v>36</v>
      </c>
      <c r="C6" s="41" t="s">
        <v>46</v>
      </c>
      <c r="D6" s="41" t="s">
        <v>101</v>
      </c>
      <c r="E6" s="41" t="s">
        <v>14</v>
      </c>
    </row>
    <row r="7" spans="2:5">
      <c r="B7" s="63" t="s">
        <v>93</v>
      </c>
      <c r="C7" s="70">
        <f>C8+C11</f>
        <v>176117.76000000001</v>
      </c>
      <c r="D7" s="70">
        <f>SUM(D8+D11)</f>
        <v>1797.1200000000001</v>
      </c>
      <c r="E7" s="146">
        <f>SUM(E8+E11)</f>
        <v>28.8</v>
      </c>
    </row>
    <row r="8" spans="2:5">
      <c r="B8" s="36" t="s">
        <v>32</v>
      </c>
      <c r="C8" s="69">
        <f>C9*C10</f>
        <v>128419.20000000001</v>
      </c>
      <c r="D8" s="69">
        <f>D9*D10</f>
        <v>1310.4000000000001</v>
      </c>
      <c r="E8" s="69">
        <f>E10/SUM(E10,E13)*E9</f>
        <v>21</v>
      </c>
    </row>
    <row r="9" spans="2:5">
      <c r="B9" s="34" t="s">
        <v>94</v>
      </c>
      <c r="C9" s="68">
        <f>Supuestos!$Y$37</f>
        <v>30</v>
      </c>
      <c r="D9" s="68">
        <f>Supuestos!$Y$37</f>
        <v>30</v>
      </c>
      <c r="E9" s="68">
        <f>Supuestos!$Y$37</f>
        <v>30</v>
      </c>
    </row>
    <row r="10" spans="2:5">
      <c r="B10" s="34" t="s">
        <v>95</v>
      </c>
      <c r="C10" s="68">
        <f>Supuestos!$O$39</f>
        <v>4280.6400000000003</v>
      </c>
      <c r="D10" s="68">
        <f>Supuestos!$H$41</f>
        <v>43.68</v>
      </c>
      <c r="E10" s="66">
        <f>1*70%</f>
        <v>0.7</v>
      </c>
    </row>
    <row r="11" spans="2:5">
      <c r="B11" s="11" t="s">
        <v>33</v>
      </c>
      <c r="C11" s="71">
        <f>C12*C13</f>
        <v>47698.560000000005</v>
      </c>
      <c r="D11" s="71">
        <f>D12*D13</f>
        <v>486.72000000000008</v>
      </c>
      <c r="E11" s="71">
        <f>E13/SUM(E10,E13)*E12</f>
        <v>7.8</v>
      </c>
    </row>
    <row r="12" spans="2:5">
      <c r="B12" s="34" t="s">
        <v>94</v>
      </c>
      <c r="C12" s="68">
        <f>Supuestos!$Y$38</f>
        <v>26</v>
      </c>
      <c r="D12" s="68">
        <f>Supuestos!$Y$38</f>
        <v>26</v>
      </c>
      <c r="E12" s="68">
        <f>Supuestos!$Y$38</f>
        <v>26</v>
      </c>
    </row>
    <row r="13" spans="2:5">
      <c r="B13" s="34" t="s">
        <v>95</v>
      </c>
      <c r="C13" s="68">
        <f>Supuestos!$O$40</f>
        <v>1834.5600000000002</v>
      </c>
      <c r="D13" s="68">
        <f>Supuestos!$H$42</f>
        <v>18.720000000000002</v>
      </c>
      <c r="E13" s="66">
        <f>1*30%</f>
        <v>0.3</v>
      </c>
    </row>
    <row r="17" spans="2:5">
      <c r="B17" s="61" t="s">
        <v>100</v>
      </c>
    </row>
    <row r="19" spans="2:5">
      <c r="B19" s="41" t="s">
        <v>36</v>
      </c>
      <c r="C19" s="226" t="s">
        <v>46</v>
      </c>
      <c r="D19" s="41" t="s">
        <v>101</v>
      </c>
      <c r="E19" s="41" t="s">
        <v>14</v>
      </c>
    </row>
    <row r="20" spans="2:5">
      <c r="B20" s="246" t="s">
        <v>98</v>
      </c>
      <c r="C20" s="68">
        <f>'Costos Pradera+Suplemento'!$H$51</f>
        <v>75798.245999999999</v>
      </c>
      <c r="D20" s="254">
        <f>C20/'Costos Pradera+Suplemento'!$C$7</f>
        <v>773.45148979591841</v>
      </c>
      <c r="E20" s="247">
        <f>D20/Supuestos!$H$40</f>
        <v>12.39505592621664</v>
      </c>
    </row>
    <row r="21" spans="2:5">
      <c r="B21" s="37" t="s">
        <v>75</v>
      </c>
      <c r="C21" s="68">
        <f>'Gastos Operativos'!$E$13</f>
        <v>85661.111111111109</v>
      </c>
      <c r="D21" s="255">
        <f>C21/'Costos Pradera+Suplemento'!$C$7</f>
        <v>874.09297052154193</v>
      </c>
      <c r="E21" s="248">
        <f>D21/Supuestos!$H$40</f>
        <v>14.007900168614453</v>
      </c>
    </row>
    <row r="22" spans="2:5" ht="16" thickBot="1">
      <c r="B22" s="73" t="s">
        <v>102</v>
      </c>
      <c r="C22" s="209">
        <f>SUM(C20:C21)</f>
        <v>161459.35711111111</v>
      </c>
      <c r="D22" s="209">
        <f>SUM(D20:D21)</f>
        <v>1647.5444603174603</v>
      </c>
      <c r="E22" s="74">
        <f>SUM(E20:E21)</f>
        <v>26.402956094831094</v>
      </c>
    </row>
    <row r="23" spans="2:5" ht="16" thickTop="1">
      <c r="B23" s="36"/>
      <c r="C23" s="67"/>
      <c r="D23" s="67"/>
      <c r="E23" s="67"/>
    </row>
    <row r="26" spans="2:5" ht="16.5" customHeight="1">
      <c r="B26" s="65" t="s">
        <v>103</v>
      </c>
      <c r="C26" s="66"/>
      <c r="D26" s="66"/>
      <c r="E26" s="66"/>
    </row>
    <row r="27" spans="2:5" ht="16.5" customHeight="1">
      <c r="B27" s="72"/>
      <c r="C27" s="66"/>
      <c r="D27" s="66"/>
      <c r="E27" s="66"/>
    </row>
    <row r="28" spans="2:5">
      <c r="B28" s="41" t="s">
        <v>36</v>
      </c>
      <c r="C28" s="226" t="s">
        <v>46</v>
      </c>
      <c r="D28" s="41" t="s">
        <v>101</v>
      </c>
      <c r="E28" s="41" t="s">
        <v>14</v>
      </c>
    </row>
    <row r="29" spans="2:5">
      <c r="B29" s="249" t="s">
        <v>93</v>
      </c>
      <c r="C29" s="70">
        <f>C7</f>
        <v>176117.76000000001</v>
      </c>
      <c r="D29" s="251">
        <f>D7</f>
        <v>1797.1200000000001</v>
      </c>
      <c r="E29" s="251">
        <f>E7</f>
        <v>28.8</v>
      </c>
    </row>
    <row r="30" spans="2:5">
      <c r="B30" s="250" t="s">
        <v>102</v>
      </c>
      <c r="C30" s="256">
        <f>C22</f>
        <v>161459.35711111111</v>
      </c>
      <c r="D30" s="257">
        <f>D22</f>
        <v>1647.5444603174603</v>
      </c>
      <c r="E30" s="252">
        <f>E22</f>
        <v>26.402956094831094</v>
      </c>
    </row>
    <row r="31" spans="2:5" ht="16" thickBot="1">
      <c r="B31" s="75" t="s">
        <v>104</v>
      </c>
      <c r="C31" s="210">
        <f>C29-C30</f>
        <v>14658.402888888901</v>
      </c>
      <c r="D31" s="210">
        <f t="shared" ref="D31:E31" si="0">D29-D30</f>
        <v>149.57553968253978</v>
      </c>
      <c r="E31" s="76">
        <f t="shared" si="0"/>
        <v>2.397043905168907</v>
      </c>
    </row>
    <row r="32" spans="2:5" ht="16" thickTop="1"/>
    <row r="33" spans="2:5" ht="16" thickBot="1">
      <c r="B33" s="253" t="s">
        <v>159</v>
      </c>
      <c r="C33" s="211">
        <f>C31/C30</f>
        <v>9.0786951906425967E-2</v>
      </c>
      <c r="D33" s="211">
        <f t="shared" ref="D33:E33" si="1">D31/D30</f>
        <v>9.0786951906425953E-2</v>
      </c>
      <c r="E33" s="211">
        <f t="shared" si="1"/>
        <v>9.0786951906425967E-2</v>
      </c>
    </row>
    <row r="34" spans="2:5" ht="16" thickTop="1"/>
  </sheetData>
  <mergeCells count="1">
    <mergeCell ref="B2:E2"/>
  </mergeCells>
  <conditionalFormatting sqref="C31:E31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C33:E33">
    <cfRule type="cellIs" dxfId="5" priority="1" operator="lessThan">
      <formula>0%</formula>
    </cfRule>
    <cfRule type="cellIs" dxfId="4" priority="2" operator="greaterThan">
      <formula>0%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7A2E1-0FA3-45B5-A9D3-79104462D9B3}">
  <sheetPr>
    <tabColor rgb="FFFFC000"/>
  </sheetPr>
  <dimension ref="B2:E15"/>
  <sheetViews>
    <sheetView showGridLines="0" tabSelected="1" zoomScale="130" zoomScaleNormal="130" workbookViewId="0">
      <selection activeCell="H6" sqref="H6"/>
    </sheetView>
  </sheetViews>
  <sheetFormatPr defaultColWidth="9.1796875" defaultRowHeight="14.5"/>
  <cols>
    <col min="1" max="1" width="4.7265625" customWidth="1"/>
    <col min="2" max="2" width="24.81640625" customWidth="1"/>
    <col min="3" max="3" width="10.26953125" customWidth="1"/>
    <col min="4" max="4" width="17" customWidth="1"/>
    <col min="5" max="5" width="37.453125" bestFit="1" customWidth="1"/>
  </cols>
  <sheetData>
    <row r="2" spans="2:5" ht="18.5">
      <c r="B2" s="284" t="s">
        <v>161</v>
      </c>
      <c r="C2" s="284"/>
      <c r="D2" s="284"/>
      <c r="E2" s="284"/>
    </row>
    <row r="3" spans="2:5" ht="15.5">
      <c r="B3" s="285" t="s">
        <v>162</v>
      </c>
      <c r="C3" s="285"/>
      <c r="D3" s="285"/>
      <c r="E3" s="285"/>
    </row>
    <row r="5" spans="2:5" s="232" customFormat="1">
      <c r="B5" s="234" t="s">
        <v>158</v>
      </c>
      <c r="C5" s="237" t="s">
        <v>120</v>
      </c>
      <c r="D5" s="237" t="s">
        <v>157</v>
      </c>
      <c r="E5" s="237" t="s">
        <v>156</v>
      </c>
    </row>
    <row r="6" spans="2:5">
      <c r="B6" s="235" t="s">
        <v>99</v>
      </c>
      <c r="C6" s="238">
        <f>'Análisis Económico - Pradera'!C7</f>
        <v>132088.32000000001</v>
      </c>
      <c r="D6" s="238">
        <f>'Análisis Económico-Pradera+Heno'!C7</f>
        <v>146764.79999999999</v>
      </c>
      <c r="E6" s="238">
        <f>'Análisis Económico-Pradera+Supl'!C7</f>
        <v>176117.76000000001</v>
      </c>
    </row>
    <row r="7" spans="2:5">
      <c r="B7" s="236" t="s">
        <v>100</v>
      </c>
      <c r="C7" s="239">
        <f>SUM(C8:C9)</f>
        <v>143236.06111111111</v>
      </c>
      <c r="D7" s="239">
        <f t="shared" ref="D7:E7" si="0">SUM(D8:D9)</f>
        <v>149255.7111111111</v>
      </c>
      <c r="E7" s="239">
        <f t="shared" si="0"/>
        <v>161459.35711111111</v>
      </c>
    </row>
    <row r="8" spans="2:5">
      <c r="B8" s="225" t="s">
        <v>98</v>
      </c>
      <c r="C8" s="240">
        <f>'Análisis Económico - Pradera'!C20</f>
        <v>57574.95</v>
      </c>
      <c r="D8" s="240">
        <f>'Análisis Económico-Pradera+Heno'!C20</f>
        <v>63594.6</v>
      </c>
      <c r="E8" s="240">
        <f>'Análisis Económico-Pradera+Supl'!C20</f>
        <v>75798.245999999999</v>
      </c>
    </row>
    <row r="9" spans="2:5">
      <c r="B9" s="225" t="s">
        <v>75</v>
      </c>
      <c r="C9" s="240">
        <f>'Análisis Económico - Pradera'!C21</f>
        <v>85661.111111111109</v>
      </c>
      <c r="D9" s="240">
        <f>'Análisis Económico-Pradera+Heno'!C21</f>
        <v>85661.111111111109</v>
      </c>
      <c r="E9" s="240">
        <f>'Análisis Económico-Pradera+Supl'!C21</f>
        <v>85661.111111111109</v>
      </c>
    </row>
    <row r="10" spans="2:5">
      <c r="B10" s="241" t="s">
        <v>103</v>
      </c>
      <c r="C10" s="243">
        <f>C6-C7</f>
        <v>-11147.7411111111</v>
      </c>
      <c r="D10" s="243">
        <f t="shared" ref="D10:E10" si="1">D6-D7</f>
        <v>-2490.9111111111124</v>
      </c>
      <c r="E10" s="243">
        <f t="shared" si="1"/>
        <v>14658.402888888901</v>
      </c>
    </row>
    <row r="11" spans="2:5" ht="15.5">
      <c r="B11" s="242" t="s">
        <v>159</v>
      </c>
      <c r="C11" s="245">
        <f>C10/C7</f>
        <v>-7.7827755277796784E-2</v>
      </c>
      <c r="D11" s="245">
        <f t="shared" ref="D11:E11" si="2">D10/D7</f>
        <v>-1.6688883075682056E-2</v>
      </c>
      <c r="E11" s="245">
        <f t="shared" si="2"/>
        <v>9.0786951906425967E-2</v>
      </c>
    </row>
    <row r="12" spans="2:5">
      <c r="C12" s="233"/>
      <c r="D12" s="233"/>
      <c r="E12" s="233"/>
    </row>
    <row r="13" spans="2:5">
      <c r="C13" s="233"/>
      <c r="D13" s="233"/>
      <c r="E13" s="233"/>
    </row>
    <row r="14" spans="2:5">
      <c r="C14" s="233"/>
      <c r="D14" s="233"/>
      <c r="E14" s="233"/>
    </row>
    <row r="15" spans="2:5">
      <c r="C15" s="233"/>
      <c r="D15" s="233"/>
      <c r="E15" s="233"/>
    </row>
  </sheetData>
  <mergeCells count="2">
    <mergeCell ref="B2:E2"/>
    <mergeCell ref="B3:E3"/>
  </mergeCells>
  <conditionalFormatting sqref="C10:E1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11:E11">
    <cfRule type="cellIs" dxfId="1" priority="1" operator="lessThan">
      <formula>0%</formula>
    </cfRule>
    <cfRule type="cellIs" dxfId="0" priority="2" operator="greaterThan">
      <formula>0%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7EAC-150A-4071-B895-41B98E2D3A1E}">
  <sheetPr>
    <tabColor theme="5"/>
  </sheetPr>
  <dimension ref="A2:AA16"/>
  <sheetViews>
    <sheetView showGridLines="0" zoomScale="115" zoomScaleNormal="115" workbookViewId="0">
      <selection activeCell="D25" sqref="D25"/>
    </sheetView>
  </sheetViews>
  <sheetFormatPr defaultColWidth="10.81640625" defaultRowHeight="14.5"/>
  <cols>
    <col min="1" max="1" width="3.453125" customWidth="1"/>
    <col min="2" max="2" width="64.81640625" customWidth="1"/>
    <col min="3" max="3" width="11.54296875" customWidth="1"/>
    <col min="4" max="4" width="14.81640625" style="4" customWidth="1"/>
    <col min="5" max="5" width="20.26953125" style="4" customWidth="1"/>
    <col min="6" max="6" width="21.7265625" style="4" customWidth="1"/>
    <col min="7" max="7" width="15.81640625" customWidth="1"/>
    <col min="8" max="8" width="18.81640625" customWidth="1"/>
    <col min="9" max="9" width="24.81640625" customWidth="1"/>
    <col min="10" max="10" width="25.54296875" style="4" customWidth="1"/>
    <col min="11" max="27" width="6.54296875" style="4" customWidth="1"/>
  </cols>
  <sheetData>
    <row r="2" spans="1:10" ht="23">
      <c r="B2" s="273" t="s">
        <v>63</v>
      </c>
      <c r="C2" s="273"/>
      <c r="D2" s="273"/>
      <c r="E2" s="273"/>
      <c r="F2" s="273"/>
      <c r="G2" s="273"/>
      <c r="H2" s="46"/>
      <c r="I2" s="46"/>
    </row>
    <row r="3" spans="1:10">
      <c r="A3" s="1"/>
    </row>
    <row r="4" spans="1:10">
      <c r="A4" s="1"/>
    </row>
    <row r="5" spans="1:10">
      <c r="A5" s="1"/>
      <c r="B5" s="40" t="s">
        <v>85</v>
      </c>
      <c r="I5" s="287" t="s">
        <v>164</v>
      </c>
    </row>
    <row r="6" spans="1:10">
      <c r="A6" s="1"/>
    </row>
    <row r="7" spans="1:10" ht="31.5" customHeight="1">
      <c r="B7" s="41" t="s">
        <v>84</v>
      </c>
      <c r="C7" s="42" t="s">
        <v>13</v>
      </c>
      <c r="D7" s="42" t="s">
        <v>40</v>
      </c>
      <c r="E7" s="42" t="s">
        <v>66</v>
      </c>
      <c r="F7" s="42" t="s">
        <v>15</v>
      </c>
      <c r="G7" s="42" t="s">
        <v>87</v>
      </c>
      <c r="H7" s="42" t="s">
        <v>88</v>
      </c>
      <c r="I7" s="42" t="s">
        <v>89</v>
      </c>
      <c r="J7" s="42" t="s">
        <v>86</v>
      </c>
    </row>
    <row r="8" spans="1:10">
      <c r="B8" s="2" t="s">
        <v>17</v>
      </c>
      <c r="C8" s="2" t="s">
        <v>2</v>
      </c>
      <c r="D8" s="3">
        <v>1</v>
      </c>
      <c r="E8" s="5">
        <v>12000</v>
      </c>
      <c r="F8" s="5">
        <f>(D8*E8)</f>
        <v>12000</v>
      </c>
      <c r="G8" s="8">
        <v>30</v>
      </c>
      <c r="H8" s="8">
        <f>G8*12</f>
        <v>360</v>
      </c>
      <c r="I8" s="8">
        <f>F8/G8</f>
        <v>400</v>
      </c>
      <c r="J8" s="8">
        <f>F8/H8</f>
        <v>33.333333333333336</v>
      </c>
    </row>
    <row r="9" spans="1:10">
      <c r="B9" s="2" t="s">
        <v>0</v>
      </c>
      <c r="C9" s="2" t="s">
        <v>6</v>
      </c>
      <c r="D9" s="3">
        <v>1</v>
      </c>
      <c r="E9" s="5">
        <v>16000</v>
      </c>
      <c r="F9" s="5">
        <f>(D9*E9)</f>
        <v>16000</v>
      </c>
      <c r="G9" s="8">
        <v>15</v>
      </c>
      <c r="H9" s="8">
        <f t="shared" ref="H9:H14" si="0">G9*12</f>
        <v>180</v>
      </c>
      <c r="I9" s="8">
        <f t="shared" ref="I9:I14" si="1">F9/G9</f>
        <v>1066.6666666666667</v>
      </c>
      <c r="J9" s="8">
        <f>F9/H9</f>
        <v>88.888888888888886</v>
      </c>
    </row>
    <row r="10" spans="1:10">
      <c r="B10" s="2" t="s">
        <v>12</v>
      </c>
      <c r="C10" s="2" t="s">
        <v>39</v>
      </c>
      <c r="D10" s="3">
        <f>Supuestos!V16</f>
        <v>100</v>
      </c>
      <c r="E10" s="5">
        <v>700</v>
      </c>
      <c r="F10" s="5">
        <f>(D10*E10)</f>
        <v>70000</v>
      </c>
      <c r="G10" s="8">
        <v>5</v>
      </c>
      <c r="H10" s="8">
        <f t="shared" si="0"/>
        <v>60</v>
      </c>
      <c r="I10" s="8">
        <f t="shared" si="1"/>
        <v>14000</v>
      </c>
      <c r="J10" s="8">
        <f t="shared" ref="J10:J14" si="2">F10/H10</f>
        <v>1166.6666666666667</v>
      </c>
    </row>
    <row r="11" spans="1:10">
      <c r="B11" s="2" t="s">
        <v>11</v>
      </c>
      <c r="C11" s="2" t="s">
        <v>39</v>
      </c>
      <c r="D11" s="3">
        <f>Supuestos!V16</f>
        <v>100</v>
      </c>
      <c r="E11" s="5">
        <v>300</v>
      </c>
      <c r="F11" s="5">
        <f t="shared" ref="F11:F14" si="3">(D11*E11)</f>
        <v>30000</v>
      </c>
      <c r="G11" s="8">
        <v>5</v>
      </c>
      <c r="H11" s="8">
        <f t="shared" si="0"/>
        <v>60</v>
      </c>
      <c r="I11" s="8">
        <f t="shared" si="1"/>
        <v>6000</v>
      </c>
      <c r="J11" s="8">
        <f t="shared" si="2"/>
        <v>500</v>
      </c>
    </row>
    <row r="12" spans="1:10">
      <c r="B12" s="2" t="s">
        <v>31</v>
      </c>
      <c r="C12" s="2" t="s">
        <v>39</v>
      </c>
      <c r="D12" s="3">
        <v>1</v>
      </c>
      <c r="E12" s="5">
        <v>900</v>
      </c>
      <c r="F12" s="5">
        <f t="shared" si="3"/>
        <v>900</v>
      </c>
      <c r="G12" s="8">
        <v>2</v>
      </c>
      <c r="H12" s="8">
        <f t="shared" si="0"/>
        <v>24</v>
      </c>
      <c r="I12" s="8">
        <f t="shared" si="1"/>
        <v>450</v>
      </c>
      <c r="J12" s="8">
        <f t="shared" si="2"/>
        <v>37.5</v>
      </c>
    </row>
    <row r="13" spans="1:10">
      <c r="B13" s="2" t="s">
        <v>28</v>
      </c>
      <c r="C13" s="2" t="s">
        <v>39</v>
      </c>
      <c r="D13" s="3">
        <v>1</v>
      </c>
      <c r="E13" s="5">
        <v>250</v>
      </c>
      <c r="F13" s="5">
        <f t="shared" si="3"/>
        <v>250</v>
      </c>
      <c r="G13" s="8">
        <v>5</v>
      </c>
      <c r="H13" s="8">
        <f t="shared" si="0"/>
        <v>60</v>
      </c>
      <c r="I13" s="8">
        <f t="shared" si="1"/>
        <v>50</v>
      </c>
      <c r="J13" s="8">
        <f t="shared" si="2"/>
        <v>4.166666666666667</v>
      </c>
    </row>
    <row r="14" spans="1:10">
      <c r="B14" s="2" t="s">
        <v>30</v>
      </c>
      <c r="C14" s="2" t="s">
        <v>39</v>
      </c>
      <c r="D14" s="3">
        <v>1</v>
      </c>
      <c r="E14" s="5">
        <v>200</v>
      </c>
      <c r="F14" s="5">
        <f t="shared" si="3"/>
        <v>200</v>
      </c>
      <c r="G14" s="8">
        <v>2</v>
      </c>
      <c r="H14" s="8">
        <f t="shared" si="0"/>
        <v>24</v>
      </c>
      <c r="I14" s="8">
        <f t="shared" si="1"/>
        <v>100</v>
      </c>
      <c r="J14" s="8">
        <f t="shared" si="2"/>
        <v>8.3333333333333339</v>
      </c>
    </row>
    <row r="15" spans="1:10" ht="15" thickBot="1">
      <c r="B15" s="43" t="s">
        <v>47</v>
      </c>
      <c r="C15" s="43"/>
      <c r="D15" s="43"/>
      <c r="E15" s="43"/>
      <c r="F15" s="43"/>
      <c r="G15" s="43"/>
      <c r="H15" s="43"/>
      <c r="I15" s="45">
        <f>SUM(I8:I14)</f>
        <v>22066.666666666664</v>
      </c>
      <c r="J15" s="45">
        <f>SUM(J8:J14)</f>
        <v>1838.8888888888889</v>
      </c>
    </row>
    <row r="16" spans="1:10" ht="15" thickTop="1">
      <c r="E16" s="6"/>
      <c r="F16" s="6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3610-F5D7-4DDC-A074-440210BC6B7A}">
  <sheetPr>
    <tabColor rgb="FF00B0F0"/>
  </sheetPr>
  <dimension ref="A2:AF40"/>
  <sheetViews>
    <sheetView showGridLines="0" zoomScaleNormal="100" workbookViewId="0">
      <selection activeCell="C12" sqref="C12"/>
    </sheetView>
  </sheetViews>
  <sheetFormatPr defaultColWidth="10.81640625" defaultRowHeight="15.5"/>
  <cols>
    <col min="1" max="1" width="4.1796875" style="34" customWidth="1"/>
    <col min="2" max="2" width="36.453125" style="35" customWidth="1"/>
    <col min="3" max="16" width="6.81640625" style="35" customWidth="1"/>
    <col min="17" max="20" width="6.81640625" style="34" customWidth="1"/>
    <col min="21" max="21" width="13.7265625" style="34" customWidth="1"/>
    <col min="22" max="22" width="6.81640625" style="34" customWidth="1"/>
    <col min="23" max="24" width="10.81640625" style="34"/>
    <col min="25" max="25" width="25.453125" style="34" customWidth="1"/>
    <col min="26" max="26" width="19.26953125" style="34" customWidth="1"/>
    <col min="27" max="16384" width="10.81640625" style="34"/>
  </cols>
  <sheetData>
    <row r="2" spans="1:32" s="35" customFormat="1" ht="22.5" customHeight="1">
      <c r="A2" s="34"/>
      <c r="B2" s="278" t="s">
        <v>144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</row>
    <row r="3" spans="1:32">
      <c r="B3" s="34"/>
      <c r="Q3" s="35"/>
      <c r="R3" s="35"/>
      <c r="S3" s="35"/>
      <c r="T3" s="35"/>
    </row>
    <row r="4" spans="1:32" ht="20.5" customHeight="1">
      <c r="B4" s="274" t="s">
        <v>36</v>
      </c>
      <c r="C4" s="276" t="s">
        <v>18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7" t="s">
        <v>47</v>
      </c>
    </row>
    <row r="5" spans="1:32">
      <c r="B5" s="275"/>
      <c r="C5" s="181">
        <v>7</v>
      </c>
      <c r="D5" s="182">
        <v>8</v>
      </c>
      <c r="E5" s="181">
        <v>9</v>
      </c>
      <c r="F5" s="120">
        <v>10</v>
      </c>
      <c r="G5" s="103">
        <v>11</v>
      </c>
      <c r="H5" s="120">
        <v>12</v>
      </c>
      <c r="I5" s="103">
        <v>13</v>
      </c>
      <c r="J5" s="120">
        <v>14</v>
      </c>
      <c r="K5" s="103">
        <v>15</v>
      </c>
      <c r="L5" s="120">
        <v>16</v>
      </c>
      <c r="M5" s="181">
        <v>17</v>
      </c>
      <c r="N5" s="182">
        <v>18</v>
      </c>
      <c r="O5" s="103">
        <v>19</v>
      </c>
      <c r="P5" s="120">
        <v>20</v>
      </c>
      <c r="Q5" s="103">
        <v>21</v>
      </c>
      <c r="R5" s="120">
        <v>22</v>
      </c>
      <c r="S5" s="103">
        <v>23</v>
      </c>
      <c r="T5" s="119">
        <v>24</v>
      </c>
      <c r="U5" s="277"/>
      <c r="X5" s="36"/>
      <c r="Y5" s="36"/>
      <c r="Z5" s="36"/>
    </row>
    <row r="6" spans="1:32">
      <c r="B6" s="104" t="s">
        <v>20</v>
      </c>
      <c r="C6" s="130">
        <v>45</v>
      </c>
      <c r="D6" s="131">
        <f>C6+4</f>
        <v>49</v>
      </c>
      <c r="E6" s="132">
        <f>D6+4</f>
        <v>53</v>
      </c>
      <c r="F6" s="131">
        <f>E6+4</f>
        <v>57</v>
      </c>
      <c r="G6" s="132">
        <f>F6+4</f>
        <v>61</v>
      </c>
      <c r="H6" s="131">
        <f>G6+4</f>
        <v>65</v>
      </c>
      <c r="I6" s="132">
        <f>H6+4.16666666666667</f>
        <v>69.166666666666671</v>
      </c>
      <c r="J6" s="131">
        <f t="shared" ref="J6:M6" si="0">I6+4.16666666666667</f>
        <v>73.333333333333343</v>
      </c>
      <c r="K6" s="132">
        <f t="shared" si="0"/>
        <v>77.500000000000014</v>
      </c>
      <c r="L6" s="131">
        <f t="shared" si="0"/>
        <v>81.666666666666686</v>
      </c>
      <c r="M6" s="132">
        <f t="shared" si="0"/>
        <v>85.833333333333357</v>
      </c>
      <c r="N6" s="131">
        <f>M6+4.16666666666667</f>
        <v>90.000000000000028</v>
      </c>
      <c r="O6" s="132">
        <f>N6+5</f>
        <v>95.000000000000028</v>
      </c>
      <c r="P6" s="131">
        <f t="shared" ref="P6:S6" si="1">O6+5</f>
        <v>100.00000000000003</v>
      </c>
      <c r="Q6" s="132">
        <f t="shared" si="1"/>
        <v>105.00000000000003</v>
      </c>
      <c r="R6" s="131">
        <f t="shared" si="1"/>
        <v>110.00000000000003</v>
      </c>
      <c r="S6" s="132">
        <f t="shared" si="1"/>
        <v>115.00000000000003</v>
      </c>
      <c r="T6" s="133">
        <f>S6+5</f>
        <v>120.00000000000003</v>
      </c>
      <c r="U6" s="38"/>
      <c r="X6" s="35"/>
      <c r="Y6" s="35"/>
      <c r="Z6" s="35"/>
    </row>
    <row r="7" spans="1:32">
      <c r="B7" s="104" t="s">
        <v>123</v>
      </c>
      <c r="C7" s="134">
        <f>C6*0.64%</f>
        <v>0.28800000000000003</v>
      </c>
      <c r="D7" s="135">
        <f>D6*0.64%</f>
        <v>0.31359999999999999</v>
      </c>
      <c r="E7" s="134">
        <f>E6*0.64%</f>
        <v>0.3392</v>
      </c>
      <c r="F7" s="135">
        <f t="shared" ref="F7:T7" si="2">F6*0.64%</f>
        <v>0.36480000000000001</v>
      </c>
      <c r="G7" s="134">
        <f t="shared" si="2"/>
        <v>0.39040000000000002</v>
      </c>
      <c r="H7" s="135">
        <f t="shared" si="2"/>
        <v>0.41600000000000004</v>
      </c>
      <c r="I7" s="134">
        <f t="shared" si="2"/>
        <v>0.44266666666666671</v>
      </c>
      <c r="J7" s="135">
        <f t="shared" si="2"/>
        <v>0.46933333333333344</v>
      </c>
      <c r="K7" s="134">
        <f t="shared" si="2"/>
        <v>0.49600000000000011</v>
      </c>
      <c r="L7" s="135">
        <f t="shared" si="2"/>
        <v>0.52266666666666683</v>
      </c>
      <c r="M7" s="134">
        <f t="shared" si="2"/>
        <v>0.54933333333333356</v>
      </c>
      <c r="N7" s="135">
        <f t="shared" si="2"/>
        <v>0.57600000000000018</v>
      </c>
      <c r="O7" s="134">
        <f t="shared" si="2"/>
        <v>0.60800000000000021</v>
      </c>
      <c r="P7" s="135">
        <f t="shared" si="2"/>
        <v>0.64000000000000024</v>
      </c>
      <c r="Q7" s="134">
        <f t="shared" si="2"/>
        <v>0.67200000000000026</v>
      </c>
      <c r="R7" s="135">
        <f t="shared" si="2"/>
        <v>0.70400000000000018</v>
      </c>
      <c r="S7" s="134">
        <f t="shared" si="2"/>
        <v>0.73600000000000021</v>
      </c>
      <c r="T7" s="135">
        <f t="shared" si="2"/>
        <v>0.76800000000000024</v>
      </c>
      <c r="U7" s="139">
        <f t="shared" ref="U7:U9" si="3">SUM(C7:T7)</f>
        <v>9.2960000000000047</v>
      </c>
    </row>
    <row r="8" spans="1:32">
      <c r="B8" s="121" t="s">
        <v>124</v>
      </c>
      <c r="C8" s="186">
        <f>C7*30</f>
        <v>8.64</v>
      </c>
      <c r="D8" s="187">
        <f t="shared" ref="D8:T8" si="4">D7*30</f>
        <v>9.4079999999999995</v>
      </c>
      <c r="E8" s="186">
        <f t="shared" si="4"/>
        <v>10.176</v>
      </c>
      <c r="F8" s="187">
        <f t="shared" si="4"/>
        <v>10.944000000000001</v>
      </c>
      <c r="G8" s="186">
        <f>G7*30</f>
        <v>11.712000000000002</v>
      </c>
      <c r="H8" s="187">
        <f t="shared" si="4"/>
        <v>12.48</v>
      </c>
      <c r="I8" s="186">
        <f t="shared" si="4"/>
        <v>13.280000000000001</v>
      </c>
      <c r="J8" s="187">
        <f t="shared" si="4"/>
        <v>14.080000000000004</v>
      </c>
      <c r="K8" s="186">
        <f t="shared" si="4"/>
        <v>14.880000000000003</v>
      </c>
      <c r="L8" s="187">
        <f t="shared" si="4"/>
        <v>15.680000000000005</v>
      </c>
      <c r="M8" s="186">
        <f t="shared" si="4"/>
        <v>16.480000000000008</v>
      </c>
      <c r="N8" s="187">
        <f t="shared" si="4"/>
        <v>17.280000000000005</v>
      </c>
      <c r="O8" s="186">
        <f t="shared" si="4"/>
        <v>18.240000000000006</v>
      </c>
      <c r="P8" s="187">
        <f t="shared" si="4"/>
        <v>19.200000000000006</v>
      </c>
      <c r="Q8" s="186">
        <f t="shared" si="4"/>
        <v>20.160000000000007</v>
      </c>
      <c r="R8" s="187">
        <f t="shared" si="4"/>
        <v>21.120000000000005</v>
      </c>
      <c r="S8" s="186">
        <f t="shared" si="4"/>
        <v>22.080000000000005</v>
      </c>
      <c r="T8" s="187">
        <f t="shared" si="4"/>
        <v>23.040000000000006</v>
      </c>
      <c r="U8" s="138">
        <f t="shared" si="3"/>
        <v>278.88000000000011</v>
      </c>
    </row>
    <row r="9" spans="1:32">
      <c r="B9" s="122" t="s">
        <v>146</v>
      </c>
      <c r="C9" s="204">
        <f>C8*'Costos Pradera'!$C$7</f>
        <v>846.72</v>
      </c>
      <c r="D9" s="205">
        <f>D8*'Costos Pradera'!$C$7</f>
        <v>921.98399999999992</v>
      </c>
      <c r="E9" s="204">
        <f>E8*'Costos Pradera'!$C$7</f>
        <v>997.24800000000005</v>
      </c>
      <c r="F9" s="137">
        <f>F8*'Costos Pradera'!$C$7</f>
        <v>1072.5120000000002</v>
      </c>
      <c r="G9" s="136">
        <f>G8*'Costos Pradera'!$C$7</f>
        <v>1147.7760000000001</v>
      </c>
      <c r="H9" s="137">
        <f>H8*'Costos Pradera'!$C$7</f>
        <v>1223.04</v>
      </c>
      <c r="I9" s="136">
        <f>I8*'Costos Pradera'!$C$7</f>
        <v>1301.44</v>
      </c>
      <c r="J9" s="137">
        <f>J8*'Costos Pradera'!$C$7</f>
        <v>1379.8400000000004</v>
      </c>
      <c r="K9" s="136">
        <f>K8*'Costos Pradera'!$C$7</f>
        <v>1458.2400000000002</v>
      </c>
      <c r="L9" s="137">
        <f>L8*'Costos Pradera'!$C$7</f>
        <v>1536.6400000000006</v>
      </c>
      <c r="M9" s="204">
        <f>M8*'Costos Pradera'!$C$7</f>
        <v>1615.0400000000006</v>
      </c>
      <c r="N9" s="205">
        <f>N8*'Costos Pradera'!$C$7</f>
        <v>1693.4400000000005</v>
      </c>
      <c r="O9" s="136">
        <f>O8*'Costos Pradera'!$C$7</f>
        <v>1787.5200000000004</v>
      </c>
      <c r="P9" s="137">
        <f>P8*'Costos Pradera'!$C$7</f>
        <v>1881.6000000000006</v>
      </c>
      <c r="Q9" s="136">
        <f>Q8*'Costos Pradera'!$C$7</f>
        <v>1975.6800000000007</v>
      </c>
      <c r="R9" s="137">
        <f>R8*'Costos Pradera'!$C$7</f>
        <v>2069.7600000000002</v>
      </c>
      <c r="S9" s="136">
        <f>S8*'Costos Pradera'!$C$7</f>
        <v>2163.8400000000006</v>
      </c>
      <c r="T9" s="137">
        <f>T8*'Costos Pradera'!$C$7</f>
        <v>2257.9200000000005</v>
      </c>
      <c r="U9" s="203">
        <f t="shared" si="3"/>
        <v>27330.240000000005</v>
      </c>
      <c r="V9" s="36"/>
    </row>
    <row r="10" spans="1:32">
      <c r="B10" s="122" t="s">
        <v>147</v>
      </c>
      <c r="C10" s="184">
        <f>C9/100</f>
        <v>8.4672000000000001</v>
      </c>
      <c r="D10" s="184">
        <f>D9/100</f>
        <v>9.2198399999999996</v>
      </c>
      <c r="E10" s="184">
        <f t="shared" ref="E10:T10" si="5">E9/100</f>
        <v>9.9724800000000009</v>
      </c>
      <c r="F10" s="183">
        <f t="shared" si="5"/>
        <v>10.725120000000002</v>
      </c>
      <c r="G10" s="183">
        <f t="shared" si="5"/>
        <v>11.47776</v>
      </c>
      <c r="H10" s="183">
        <f t="shared" si="5"/>
        <v>12.230399999999999</v>
      </c>
      <c r="I10" s="183">
        <f t="shared" si="5"/>
        <v>13.0144</v>
      </c>
      <c r="J10" s="183">
        <f t="shared" si="5"/>
        <v>13.798400000000004</v>
      </c>
      <c r="K10" s="183">
        <f t="shared" si="5"/>
        <v>14.582400000000002</v>
      </c>
      <c r="L10" s="183">
        <f t="shared" si="5"/>
        <v>15.366400000000006</v>
      </c>
      <c r="M10" s="184">
        <f t="shared" si="5"/>
        <v>16.150400000000005</v>
      </c>
      <c r="N10" s="184">
        <f t="shared" si="5"/>
        <v>16.934400000000004</v>
      </c>
      <c r="O10" s="183">
        <f t="shared" si="5"/>
        <v>17.875200000000003</v>
      </c>
      <c r="P10" s="183">
        <f t="shared" si="5"/>
        <v>18.816000000000006</v>
      </c>
      <c r="Q10" s="183">
        <f t="shared" si="5"/>
        <v>19.756800000000009</v>
      </c>
      <c r="R10" s="183">
        <f t="shared" si="5"/>
        <v>20.697600000000001</v>
      </c>
      <c r="S10" s="183">
        <f t="shared" si="5"/>
        <v>21.638400000000004</v>
      </c>
      <c r="T10" s="183">
        <f t="shared" si="5"/>
        <v>22.579200000000004</v>
      </c>
      <c r="U10" s="166">
        <f>SUM(C10:T10)</f>
        <v>273.30240000000009</v>
      </c>
    </row>
    <row r="11" spans="1:32">
      <c r="U11" s="180">
        <f>C10+D10+E10+M10+N10</f>
        <v>60.744320000000009</v>
      </c>
    </row>
    <row r="12" spans="1:32">
      <c r="C12" s="289">
        <f>C9+D9+E9+M9+N9</f>
        <v>6074.4320000000016</v>
      </c>
    </row>
    <row r="15" spans="1:32" ht="20">
      <c r="B15" s="279" t="s">
        <v>145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</row>
    <row r="16" spans="1:32">
      <c r="V16"/>
    </row>
    <row r="17" spans="1:32" ht="18">
      <c r="B17" s="274" t="s">
        <v>36</v>
      </c>
      <c r="C17" s="276" t="s">
        <v>18</v>
      </c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7" t="s">
        <v>47</v>
      </c>
      <c r="W17" s="36" t="s">
        <v>143</v>
      </c>
    </row>
    <row r="18" spans="1:32">
      <c r="B18" s="275"/>
      <c r="C18" s="181">
        <v>7</v>
      </c>
      <c r="D18" s="182">
        <v>8</v>
      </c>
      <c r="E18" s="181">
        <v>9</v>
      </c>
      <c r="F18" s="120">
        <v>10</v>
      </c>
      <c r="G18" s="103">
        <v>11</v>
      </c>
      <c r="H18" s="120">
        <v>12</v>
      </c>
      <c r="I18" s="103">
        <v>13</v>
      </c>
      <c r="J18" s="120">
        <v>14</v>
      </c>
      <c r="K18" s="103">
        <v>15</v>
      </c>
      <c r="L18" s="120">
        <v>16</v>
      </c>
      <c r="M18" s="181">
        <v>17</v>
      </c>
      <c r="N18" s="182">
        <v>18</v>
      </c>
      <c r="O18" s="103">
        <v>19</v>
      </c>
      <c r="P18" s="120">
        <v>20</v>
      </c>
      <c r="Q18" s="103">
        <v>21</v>
      </c>
      <c r="R18" s="120">
        <v>22</v>
      </c>
      <c r="S18" s="103">
        <v>23</v>
      </c>
      <c r="T18" s="119">
        <v>24</v>
      </c>
      <c r="U18" s="277"/>
      <c r="W18" s="60" t="s">
        <v>127</v>
      </c>
    </row>
    <row r="19" spans="1:32">
      <c r="B19" s="104" t="s">
        <v>20</v>
      </c>
      <c r="C19" s="178">
        <v>45</v>
      </c>
      <c r="D19" s="178">
        <f>C19+3</f>
        <v>48</v>
      </c>
      <c r="E19" s="178">
        <f t="shared" ref="E19:H19" si="6">D19+3</f>
        <v>51</v>
      </c>
      <c r="F19" s="178">
        <f t="shared" si="6"/>
        <v>54</v>
      </c>
      <c r="G19" s="178">
        <f t="shared" si="6"/>
        <v>57</v>
      </c>
      <c r="H19" s="178">
        <f t="shared" si="6"/>
        <v>60</v>
      </c>
      <c r="I19" s="178">
        <f>H19+3.3</f>
        <v>63.3</v>
      </c>
      <c r="J19" s="178">
        <f t="shared" ref="J19:N19" si="7">I19+3.3</f>
        <v>66.599999999999994</v>
      </c>
      <c r="K19" s="178">
        <f t="shared" si="7"/>
        <v>69.899999999999991</v>
      </c>
      <c r="L19" s="178">
        <f t="shared" si="7"/>
        <v>73.199999999999989</v>
      </c>
      <c r="M19" s="178">
        <f t="shared" si="7"/>
        <v>76.499999999999986</v>
      </c>
      <c r="N19" s="178">
        <f t="shared" si="7"/>
        <v>79.799999999999983</v>
      </c>
      <c r="O19" s="178">
        <f>N19+3.4</f>
        <v>83.199999999999989</v>
      </c>
      <c r="P19" s="178">
        <f t="shared" ref="P19:S19" si="8">O19+3.4</f>
        <v>86.6</v>
      </c>
      <c r="Q19" s="178">
        <f t="shared" si="8"/>
        <v>90</v>
      </c>
      <c r="R19" s="178">
        <f t="shared" si="8"/>
        <v>93.4</v>
      </c>
      <c r="S19" s="178">
        <f t="shared" si="8"/>
        <v>96.800000000000011</v>
      </c>
      <c r="T19" s="178">
        <f>S19+3.35</f>
        <v>100.15</v>
      </c>
      <c r="U19" s="38"/>
    </row>
    <row r="20" spans="1:32">
      <c r="B20" s="126" t="s">
        <v>125</v>
      </c>
      <c r="C20" s="172">
        <f>C19*0.5%</f>
        <v>0.22500000000000001</v>
      </c>
      <c r="D20" s="123">
        <f t="shared" ref="D20:T20" si="9">D19*0.5%</f>
        <v>0.24</v>
      </c>
      <c r="E20" s="172">
        <f t="shared" si="9"/>
        <v>0.255</v>
      </c>
      <c r="F20" s="123">
        <f t="shared" si="9"/>
        <v>0.27</v>
      </c>
      <c r="G20" s="172">
        <f>G19*0.5%</f>
        <v>0.28500000000000003</v>
      </c>
      <c r="H20" s="123">
        <f t="shared" si="9"/>
        <v>0.3</v>
      </c>
      <c r="I20" s="172">
        <f t="shared" si="9"/>
        <v>0.3165</v>
      </c>
      <c r="J20" s="123">
        <f t="shared" si="9"/>
        <v>0.33299999999999996</v>
      </c>
      <c r="K20" s="172">
        <f t="shared" si="9"/>
        <v>0.34949999999999998</v>
      </c>
      <c r="L20" s="123">
        <f t="shared" si="9"/>
        <v>0.36599999999999994</v>
      </c>
      <c r="M20" s="172">
        <f>M19*0.5%</f>
        <v>0.38249999999999995</v>
      </c>
      <c r="N20" s="123">
        <f t="shared" si="9"/>
        <v>0.39899999999999991</v>
      </c>
      <c r="O20" s="172">
        <f t="shared" si="9"/>
        <v>0.41599999999999993</v>
      </c>
      <c r="P20" s="123">
        <f t="shared" si="9"/>
        <v>0.433</v>
      </c>
      <c r="Q20" s="172">
        <f t="shared" si="9"/>
        <v>0.45</v>
      </c>
      <c r="R20" s="123">
        <f t="shared" si="9"/>
        <v>0.46700000000000003</v>
      </c>
      <c r="S20" s="172">
        <f t="shared" si="9"/>
        <v>0.48400000000000004</v>
      </c>
      <c r="T20" s="167">
        <f t="shared" si="9"/>
        <v>0.50075000000000003</v>
      </c>
      <c r="U20" s="176">
        <f>SUM(C20:T20)</f>
        <v>6.4722499999999989</v>
      </c>
    </row>
    <row r="21" spans="1:32">
      <c r="B21" s="127" t="s">
        <v>126</v>
      </c>
      <c r="C21" s="173">
        <f>C20*30</f>
        <v>6.75</v>
      </c>
      <c r="D21" s="124">
        <f t="shared" ref="D21:T21" si="10">D20*30</f>
        <v>7.1999999999999993</v>
      </c>
      <c r="E21" s="173">
        <f t="shared" si="10"/>
        <v>7.65</v>
      </c>
      <c r="F21" s="124">
        <f>F20*30</f>
        <v>8.1000000000000014</v>
      </c>
      <c r="G21" s="173">
        <f t="shared" si="10"/>
        <v>8.5500000000000007</v>
      </c>
      <c r="H21" s="124">
        <f t="shared" si="10"/>
        <v>9</v>
      </c>
      <c r="I21" s="173">
        <f t="shared" si="10"/>
        <v>9.495000000000001</v>
      </c>
      <c r="J21" s="124">
        <f t="shared" si="10"/>
        <v>9.9899999999999984</v>
      </c>
      <c r="K21" s="173">
        <f t="shared" si="10"/>
        <v>10.484999999999999</v>
      </c>
      <c r="L21" s="124">
        <f t="shared" si="10"/>
        <v>10.979999999999999</v>
      </c>
      <c r="M21" s="173">
        <f>M20*30</f>
        <v>11.474999999999998</v>
      </c>
      <c r="N21" s="124">
        <f t="shared" si="10"/>
        <v>11.969999999999997</v>
      </c>
      <c r="O21" s="173">
        <f t="shared" si="10"/>
        <v>12.479999999999997</v>
      </c>
      <c r="P21" s="124">
        <f t="shared" si="10"/>
        <v>12.99</v>
      </c>
      <c r="Q21" s="173">
        <f t="shared" si="10"/>
        <v>13.5</v>
      </c>
      <c r="R21" s="124">
        <f t="shared" si="10"/>
        <v>14.010000000000002</v>
      </c>
      <c r="S21" s="173">
        <f t="shared" si="10"/>
        <v>14.520000000000001</v>
      </c>
      <c r="T21" s="168">
        <f t="shared" si="10"/>
        <v>15.022500000000001</v>
      </c>
      <c r="U21" s="177">
        <f>SUM(C21:T21)</f>
        <v>194.16750000000002</v>
      </c>
    </row>
    <row r="22" spans="1:32">
      <c r="B22" s="128" t="s">
        <v>148</v>
      </c>
      <c r="C22" s="174">
        <f>C21*'Costos Pradera'!$C$7</f>
        <v>661.5</v>
      </c>
      <c r="D22" s="129">
        <f>D21*'Costos Pradera'!$C$7</f>
        <v>705.59999999999991</v>
      </c>
      <c r="E22" s="174">
        <f>E21*'Costos Pradera'!$C$7</f>
        <v>749.7</v>
      </c>
      <c r="F22" s="129">
        <f>F21*'Costos Pradera'!$C$7</f>
        <v>793.80000000000018</v>
      </c>
      <c r="G22" s="174">
        <f>G21*'Costos Pradera'!$C$7</f>
        <v>837.90000000000009</v>
      </c>
      <c r="H22" s="129">
        <f>H21*'Costos Pradera'!$C$7</f>
        <v>882</v>
      </c>
      <c r="I22" s="174">
        <f>I21*'Costos Pradera'!$C$7</f>
        <v>930.5100000000001</v>
      </c>
      <c r="J22" s="129">
        <f>J21*'Costos Pradera'!$C$7</f>
        <v>979.01999999999987</v>
      </c>
      <c r="K22" s="174">
        <f>K21*'Costos Pradera'!$C$7</f>
        <v>1027.53</v>
      </c>
      <c r="L22" s="129">
        <f>L21*'Costos Pradera'!$C$7</f>
        <v>1076.04</v>
      </c>
      <c r="M22" s="174">
        <f>M21*'Costos Pradera'!$C$7</f>
        <v>1124.5499999999997</v>
      </c>
      <c r="N22" s="129">
        <f>N21*'Costos Pradera'!$C$7</f>
        <v>1173.0599999999997</v>
      </c>
      <c r="O22" s="174">
        <f>O21*'Costos Pradera'!$C$7</f>
        <v>1223.0399999999997</v>
      </c>
      <c r="P22" s="129">
        <f>P21*'Costos Pradera'!$C$7</f>
        <v>1273.02</v>
      </c>
      <c r="Q22" s="174">
        <f>Q21*'Costos Pradera'!$C$7</f>
        <v>1323</v>
      </c>
      <c r="R22" s="129">
        <f>R21*'Costos Pradera'!$C$7</f>
        <v>1372.9800000000002</v>
      </c>
      <c r="S22" s="174">
        <f>S21*'Costos Pradera'!$C$7</f>
        <v>1422.96</v>
      </c>
      <c r="T22" s="169">
        <f>T21*'Costos Pradera'!$C$7</f>
        <v>1472.2050000000002</v>
      </c>
      <c r="U22" s="171">
        <f>SUM(C22:T22)</f>
        <v>19028.414999999997</v>
      </c>
    </row>
    <row r="23" spans="1:32" s="35" customFormat="1">
      <c r="A23" s="34"/>
      <c r="B23" s="118" t="s">
        <v>149</v>
      </c>
      <c r="C23" s="175">
        <f>C22/22</f>
        <v>30.068181818181817</v>
      </c>
      <c r="D23" s="125">
        <f t="shared" ref="D23:T23" si="11">D22/22</f>
        <v>32.072727272727271</v>
      </c>
      <c r="E23" s="175">
        <f t="shared" si="11"/>
        <v>34.077272727272728</v>
      </c>
      <c r="F23" s="125">
        <f t="shared" si="11"/>
        <v>36.081818181818193</v>
      </c>
      <c r="G23" s="175">
        <f t="shared" si="11"/>
        <v>38.086363636363643</v>
      </c>
      <c r="H23" s="125">
        <f t="shared" si="11"/>
        <v>40.090909090909093</v>
      </c>
      <c r="I23" s="175">
        <f t="shared" si="11"/>
        <v>42.295909090909099</v>
      </c>
      <c r="J23" s="125">
        <f t="shared" si="11"/>
        <v>44.500909090909083</v>
      </c>
      <c r="K23" s="175">
        <f t="shared" si="11"/>
        <v>46.705909090909088</v>
      </c>
      <c r="L23" s="125">
        <f t="shared" si="11"/>
        <v>48.910909090909087</v>
      </c>
      <c r="M23" s="175">
        <f t="shared" si="11"/>
        <v>51.115909090909078</v>
      </c>
      <c r="N23" s="125">
        <f t="shared" si="11"/>
        <v>53.320909090909076</v>
      </c>
      <c r="O23" s="175">
        <f t="shared" si="11"/>
        <v>55.592727272727259</v>
      </c>
      <c r="P23" s="125">
        <f t="shared" si="11"/>
        <v>57.864545454545457</v>
      </c>
      <c r="Q23" s="175">
        <f t="shared" si="11"/>
        <v>60.136363636363633</v>
      </c>
      <c r="R23" s="125">
        <f>R22/22</f>
        <v>62.408181818181831</v>
      </c>
      <c r="S23" s="175">
        <f t="shared" si="11"/>
        <v>64.680000000000007</v>
      </c>
      <c r="T23" s="170">
        <f t="shared" si="11"/>
        <v>66.918409090909094</v>
      </c>
      <c r="U23" s="206">
        <f>SUM(C23:T23)</f>
        <v>864.92795454545444</v>
      </c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s="35" customFormat="1">
      <c r="A24" s="34"/>
      <c r="B24" s="118" t="s">
        <v>150</v>
      </c>
      <c r="C24" s="185">
        <f>C21/22</f>
        <v>0.30681818181818182</v>
      </c>
      <c r="D24" s="185">
        <f t="shared" ref="D24:H24" si="12">D21/22</f>
        <v>0.32727272727272722</v>
      </c>
      <c r="E24" s="185">
        <f>E21/22</f>
        <v>0.34772727272727272</v>
      </c>
      <c r="F24" s="179">
        <f>F21/22</f>
        <v>0.36818181818181822</v>
      </c>
      <c r="G24" s="179">
        <f t="shared" si="12"/>
        <v>0.38863636363636367</v>
      </c>
      <c r="H24" s="179">
        <f t="shared" si="12"/>
        <v>0.40909090909090912</v>
      </c>
      <c r="I24" s="179">
        <f t="shared" ref="I24:S24" si="13">I21/22</f>
        <v>0.43159090909090914</v>
      </c>
      <c r="J24" s="179">
        <f t="shared" si="13"/>
        <v>0.45409090909090905</v>
      </c>
      <c r="K24" s="179">
        <f t="shared" si="13"/>
        <v>0.47659090909090907</v>
      </c>
      <c r="L24" s="179">
        <f t="shared" si="13"/>
        <v>0.49909090909090903</v>
      </c>
      <c r="M24" s="185">
        <f>M21/22</f>
        <v>0.52159090909090899</v>
      </c>
      <c r="N24" s="185">
        <f t="shared" si="13"/>
        <v>0.54409090909090896</v>
      </c>
      <c r="O24" s="179">
        <f t="shared" si="13"/>
        <v>0.56727272727272715</v>
      </c>
      <c r="P24" s="179">
        <f t="shared" si="13"/>
        <v>0.59045454545454545</v>
      </c>
      <c r="Q24" s="179">
        <f t="shared" si="13"/>
        <v>0.61363636363636365</v>
      </c>
      <c r="R24" s="179">
        <f t="shared" si="13"/>
        <v>0.63681818181818184</v>
      </c>
      <c r="S24" s="179">
        <f t="shared" si="13"/>
        <v>0.66</v>
      </c>
      <c r="T24" s="179">
        <f>T21/22</f>
        <v>0.68284090909090911</v>
      </c>
      <c r="U24" s="171">
        <f>SUM(C24:T24)</f>
        <v>8.8257954545454549</v>
      </c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1:32" s="35" customFormat="1">
      <c r="A25" s="34"/>
      <c r="Q25" s="34"/>
      <c r="R25" s="34"/>
      <c r="S25" s="34"/>
      <c r="T25" s="34"/>
      <c r="U25" s="180">
        <f>C24+D24+E24+M24+N24</f>
        <v>2.0474999999999994</v>
      </c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1:32" s="35" customFormat="1">
      <c r="A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1:32" s="35" customFormat="1">
      <c r="A27" s="34"/>
      <c r="C27" s="289">
        <f>C23+D23+E23+M23+N23</f>
        <v>200.65499999999997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1:32" s="35" customFormat="1">
      <c r="A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1:32" s="35" customFormat="1">
      <c r="A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1:32" s="35" customFormat="1">
      <c r="A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s="35" customFormat="1">
      <c r="A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1:32" s="35" customFormat="1">
      <c r="A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1:32" s="35" customFormat="1">
      <c r="A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1:32" s="35" customFormat="1">
      <c r="A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32" s="35" customFormat="1">
      <c r="A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1:32" s="35" customFormat="1">
      <c r="A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32" s="35" customFormat="1">
      <c r="A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9" spans="1:32" s="35" customFormat="1">
      <c r="A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1:32" s="35" customFormat="1">
      <c r="A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</row>
  </sheetData>
  <mergeCells count="8">
    <mergeCell ref="B17:B18"/>
    <mergeCell ref="C17:T17"/>
    <mergeCell ref="U17:U18"/>
    <mergeCell ref="B2:U2"/>
    <mergeCell ref="B15:U15"/>
    <mergeCell ref="C4:T4"/>
    <mergeCell ref="B4:B5"/>
    <mergeCell ref="U4:U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5568-449D-4D37-84A7-880857A73BC3}">
  <sheetPr>
    <tabColor rgb="FFFFFF00"/>
  </sheetPr>
  <dimension ref="A3:E14"/>
  <sheetViews>
    <sheetView showGridLines="0" zoomScale="85" zoomScaleNormal="85" workbookViewId="0">
      <selection activeCell="E12" sqref="E12"/>
    </sheetView>
  </sheetViews>
  <sheetFormatPr defaultColWidth="9.1796875" defaultRowHeight="15.5"/>
  <cols>
    <col min="1" max="1" width="54.81640625" style="47" customWidth="1"/>
    <col min="2" max="2" width="22.54296875" style="47" customWidth="1"/>
    <col min="3" max="3" width="17.453125" style="47" customWidth="1"/>
    <col min="4" max="4" width="21.54296875" style="47" customWidth="1"/>
    <col min="5" max="5" width="17.453125" style="47" customWidth="1"/>
    <col min="6" max="16384" width="9.1796875" style="47"/>
  </cols>
  <sheetData>
    <row r="3" spans="1:5" ht="20">
      <c r="A3" s="280" t="s">
        <v>79</v>
      </c>
      <c r="B3" s="280"/>
      <c r="C3" s="280"/>
      <c r="D3" s="280"/>
      <c r="E3" s="280"/>
    </row>
    <row r="6" spans="1:5">
      <c r="A6" s="50" t="s">
        <v>78</v>
      </c>
      <c r="B6" s="50" t="s">
        <v>13</v>
      </c>
      <c r="C6" s="50" t="s">
        <v>40</v>
      </c>
      <c r="D6" s="50" t="s">
        <v>66</v>
      </c>
      <c r="E6" s="50" t="s">
        <v>15</v>
      </c>
    </row>
    <row r="7" spans="1:5">
      <c r="A7" s="147" t="s">
        <v>82</v>
      </c>
      <c r="B7" s="51" t="s">
        <v>18</v>
      </c>
      <c r="C7" s="51">
        <v>17</v>
      </c>
      <c r="D7" s="52">
        <v>1200</v>
      </c>
      <c r="E7" s="53">
        <f>C7*D7</f>
        <v>20400</v>
      </c>
    </row>
    <row r="8" spans="1:5">
      <c r="A8" s="147" t="s">
        <v>90</v>
      </c>
      <c r="B8" s="51" t="s">
        <v>18</v>
      </c>
      <c r="C8" s="51">
        <v>17</v>
      </c>
      <c r="D8" s="52">
        <v>2000</v>
      </c>
      <c r="E8" s="53">
        <f>C8*D8</f>
        <v>34000</v>
      </c>
    </row>
    <row r="9" spans="1:5">
      <c r="A9" s="49" t="s">
        <v>80</v>
      </c>
      <c r="B9" s="51" t="s">
        <v>83</v>
      </c>
      <c r="C9" s="51">
        <v>3</v>
      </c>
      <c r="D9" s="52"/>
      <c r="E9" s="53">
        <f t="shared" ref="E9:E11" si="0">C9*D9</f>
        <v>0</v>
      </c>
    </row>
    <row r="10" spans="1:5">
      <c r="A10" s="49" t="s">
        <v>77</v>
      </c>
      <c r="B10" s="51" t="s">
        <v>18</v>
      </c>
      <c r="C10" s="51">
        <v>17</v>
      </c>
      <c r="D10" s="52"/>
      <c r="E10" s="53">
        <f t="shared" si="0"/>
        <v>0</v>
      </c>
    </row>
    <row r="11" spans="1:5">
      <c r="A11" s="49" t="s">
        <v>81</v>
      </c>
      <c r="B11" s="51" t="s">
        <v>83</v>
      </c>
      <c r="C11" s="51">
        <v>4</v>
      </c>
      <c r="D11" s="52"/>
      <c r="E11" s="53">
        <f t="shared" si="0"/>
        <v>0</v>
      </c>
    </row>
    <row r="12" spans="1:5">
      <c r="A12" s="147" t="s">
        <v>76</v>
      </c>
      <c r="B12" s="51" t="s">
        <v>18</v>
      </c>
      <c r="C12" s="51">
        <v>17</v>
      </c>
      <c r="D12" s="52">
        <f>Inversiones!J15</f>
        <v>1838.8888888888889</v>
      </c>
      <c r="E12" s="53">
        <f>C12*D12</f>
        <v>31261.111111111113</v>
      </c>
    </row>
    <row r="13" spans="1:5" ht="16" thickBot="1">
      <c r="A13" s="48" t="s">
        <v>91</v>
      </c>
      <c r="B13" s="54"/>
      <c r="C13" s="54"/>
      <c r="D13" s="54"/>
      <c r="E13" s="54">
        <f>SUM(E7:E12)</f>
        <v>85661.111111111109</v>
      </c>
    </row>
    <row r="14" spans="1:5" ht="16" thickTop="1"/>
  </sheetData>
  <mergeCells count="1"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AT66"/>
  <sheetViews>
    <sheetView showGridLines="0" topLeftCell="A4" zoomScaleNormal="100" workbookViewId="0">
      <pane xSplit="10" ySplit="9" topLeftCell="K13" activePane="bottomRight" state="frozen"/>
      <selection activeCell="C7" sqref="C7"/>
      <selection pane="topRight" activeCell="C7" sqref="C7"/>
      <selection pane="bottomLeft" activeCell="C7" sqref="C7"/>
      <selection pane="bottomRight" activeCell="K69" sqref="K69"/>
    </sheetView>
  </sheetViews>
  <sheetFormatPr defaultColWidth="10.81640625" defaultRowHeight="14" outlineLevelCol="1"/>
  <cols>
    <col min="1" max="1" width="3.453125" style="9" customWidth="1"/>
    <col min="2" max="2" width="62.453125" style="9" customWidth="1"/>
    <col min="3" max="3" width="15" style="9" customWidth="1" outlineLevel="1"/>
    <col min="4" max="4" width="11.81640625" style="10" customWidth="1" outlineLevel="1"/>
    <col min="5" max="6" width="15" style="10" customWidth="1" outlineLevel="1"/>
    <col min="7" max="7" width="17.54296875" style="10" customWidth="1" outlineLevel="1"/>
    <col min="8" max="8" width="21.453125" style="9" customWidth="1" outlineLevel="1"/>
    <col min="9" max="9" width="12.453125" style="10" customWidth="1" outlineLevel="1"/>
    <col min="10" max="10" width="11.453125" style="10" customWidth="1"/>
    <col min="11" max="11" width="13.1796875" style="9" customWidth="1"/>
    <col min="12" max="12" width="13.1796875" style="107" customWidth="1"/>
    <col min="13" max="40" width="13.1796875" style="10" customWidth="1"/>
    <col min="41" max="42" width="10.81640625" style="9"/>
    <col min="43" max="46" width="11.7265625" style="9" customWidth="1"/>
    <col min="47" max="16384" width="10.81640625" style="9"/>
  </cols>
  <sheetData>
    <row r="4" spans="1:46" ht="23">
      <c r="B4" s="282" t="s">
        <v>63</v>
      </c>
      <c r="C4" s="282"/>
      <c r="D4" s="282"/>
      <c r="E4" s="282"/>
      <c r="F4" s="282"/>
      <c r="G4" s="282"/>
      <c r="K4" s="282" t="s">
        <v>142</v>
      </c>
      <c r="L4" s="282"/>
      <c r="M4" s="282"/>
      <c r="N4" s="282"/>
      <c r="O4" s="282"/>
      <c r="P4" s="282"/>
    </row>
    <row r="5" spans="1:46">
      <c r="A5" s="11"/>
    </row>
    <row r="6" spans="1:46">
      <c r="A6" s="11"/>
      <c r="B6" s="7" t="s">
        <v>52</v>
      </c>
      <c r="C6" s="39" t="s">
        <v>49</v>
      </c>
    </row>
    <row r="7" spans="1:46">
      <c r="A7" s="11"/>
      <c r="B7" s="7" t="s">
        <v>64</v>
      </c>
      <c r="C7" s="39">
        <f>Supuestos!$V$16*(1-Supuestos!$I$5)</f>
        <v>98</v>
      </c>
    </row>
    <row r="8" spans="1:46">
      <c r="A8" s="11"/>
    </row>
    <row r="9" spans="1:46">
      <c r="A9" s="11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spans="1:46">
      <c r="A10" s="11"/>
      <c r="B10" s="40" t="s">
        <v>151</v>
      </c>
      <c r="K10" s="112"/>
      <c r="L10" s="112"/>
      <c r="M10" s="112"/>
      <c r="N10" s="112"/>
      <c r="O10" s="112"/>
      <c r="P10" s="112"/>
      <c r="Q10" s="112"/>
      <c r="R10" s="112"/>
      <c r="S10" s="112">
        <v>7</v>
      </c>
      <c r="T10" s="112">
        <v>8</v>
      </c>
      <c r="U10" s="112">
        <v>9</v>
      </c>
      <c r="V10" s="112">
        <v>10</v>
      </c>
      <c r="W10" s="112">
        <v>11</v>
      </c>
      <c r="X10" s="112">
        <v>12</v>
      </c>
      <c r="Y10" s="112">
        <v>13</v>
      </c>
      <c r="Z10" s="112">
        <v>14</v>
      </c>
      <c r="AA10" s="112">
        <v>15</v>
      </c>
      <c r="AB10" s="112">
        <v>16</v>
      </c>
      <c r="AC10" s="112">
        <v>17</v>
      </c>
      <c r="AD10" s="112">
        <v>18</v>
      </c>
      <c r="AE10" s="112">
        <v>19</v>
      </c>
      <c r="AF10" s="112">
        <v>20</v>
      </c>
      <c r="AG10" s="112">
        <v>21</v>
      </c>
      <c r="AH10" s="112">
        <v>22</v>
      </c>
      <c r="AI10" s="112">
        <v>23</v>
      </c>
      <c r="AJ10" s="112">
        <v>24</v>
      </c>
    </row>
    <row r="11" spans="1:46">
      <c r="E11" s="12"/>
      <c r="F11" s="12"/>
      <c r="G11" s="12"/>
      <c r="K11" s="281">
        <v>2024</v>
      </c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>
        <v>2025</v>
      </c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>
        <v>2026</v>
      </c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</row>
    <row r="12" spans="1:46">
      <c r="B12" s="41" t="s">
        <v>70</v>
      </c>
      <c r="C12" s="41" t="s">
        <v>13</v>
      </c>
      <c r="D12" s="41" t="s">
        <v>40</v>
      </c>
      <c r="E12" s="41" t="s">
        <v>66</v>
      </c>
      <c r="F12" s="42" t="s">
        <v>49</v>
      </c>
      <c r="G12" s="41" t="s">
        <v>67</v>
      </c>
      <c r="H12" s="41" t="s">
        <v>15</v>
      </c>
      <c r="I12" s="41" t="s">
        <v>154</v>
      </c>
      <c r="K12" s="62" t="s">
        <v>107</v>
      </c>
      <c r="L12" s="41" t="s">
        <v>108</v>
      </c>
      <c r="M12" s="42" t="s">
        <v>109</v>
      </c>
      <c r="N12" s="42" t="s">
        <v>110</v>
      </c>
      <c r="O12" s="42" t="s">
        <v>111</v>
      </c>
      <c r="P12" s="42" t="s">
        <v>112</v>
      </c>
      <c r="Q12" s="111" t="s">
        <v>113</v>
      </c>
      <c r="R12" s="111" t="s">
        <v>114</v>
      </c>
      <c r="S12" s="111" t="s">
        <v>115</v>
      </c>
      <c r="T12" s="111" t="s">
        <v>116</v>
      </c>
      <c r="U12" s="111" t="s">
        <v>117</v>
      </c>
      <c r="V12" s="42" t="s">
        <v>118</v>
      </c>
      <c r="W12" s="42" t="s">
        <v>119</v>
      </c>
      <c r="X12" s="42" t="s">
        <v>108</v>
      </c>
      <c r="Y12" s="42" t="s">
        <v>109</v>
      </c>
      <c r="Z12" s="42" t="s">
        <v>110</v>
      </c>
      <c r="AA12" s="42" t="s">
        <v>111</v>
      </c>
      <c r="AB12" s="42" t="s">
        <v>112</v>
      </c>
      <c r="AC12" s="111" t="s">
        <v>113</v>
      </c>
      <c r="AD12" s="111" t="s">
        <v>114</v>
      </c>
      <c r="AE12" s="111" t="s">
        <v>115</v>
      </c>
      <c r="AF12" s="111" t="s">
        <v>116</v>
      </c>
      <c r="AG12" s="111" t="s">
        <v>117</v>
      </c>
      <c r="AH12" s="42" t="s">
        <v>118</v>
      </c>
      <c r="AI12" s="42" t="s">
        <v>119</v>
      </c>
      <c r="AJ12" s="42" t="s">
        <v>108</v>
      </c>
      <c r="AK12" s="42" t="s">
        <v>109</v>
      </c>
      <c r="AL12" s="42" t="s">
        <v>110</v>
      </c>
      <c r="AM12" s="42" t="s">
        <v>111</v>
      </c>
      <c r="AN12" s="42" t="s">
        <v>112</v>
      </c>
      <c r="AO12" s="111" t="s">
        <v>113</v>
      </c>
      <c r="AP12" s="111" t="s">
        <v>114</v>
      </c>
      <c r="AQ12" s="111" t="s">
        <v>115</v>
      </c>
      <c r="AR12" s="111" t="s">
        <v>116</v>
      </c>
      <c r="AS12" s="111" t="s">
        <v>117</v>
      </c>
      <c r="AT12" s="42" t="s">
        <v>118</v>
      </c>
    </row>
    <row r="13" spans="1:46">
      <c r="B13" s="105" t="s">
        <v>69</v>
      </c>
      <c r="C13" s="13" t="s">
        <v>62</v>
      </c>
      <c r="D13" s="188">
        <f>Supuestos!$V$16</f>
        <v>100</v>
      </c>
      <c r="E13" s="286">
        <f>(45*10)</f>
        <v>450</v>
      </c>
      <c r="F13" s="16">
        <f>D13</f>
        <v>100</v>
      </c>
      <c r="G13" s="199">
        <f>D13*E13/F13</f>
        <v>450</v>
      </c>
      <c r="H13" s="199">
        <f>G13*F13</f>
        <v>45000</v>
      </c>
      <c r="I13" s="215">
        <f>H13/$H$64</f>
        <v>0.31416669552992377</v>
      </c>
      <c r="K13" s="158"/>
      <c r="S13" s="165"/>
      <c r="AJ13" s="149"/>
      <c r="AK13" s="149"/>
      <c r="AL13" s="149"/>
      <c r="AM13" s="149"/>
      <c r="AN13" s="149"/>
      <c r="AO13" s="150"/>
      <c r="AT13" s="156"/>
    </row>
    <row r="14" spans="1:46" ht="18.649999999999999" customHeight="1" thickBot="1">
      <c r="B14" s="43" t="s">
        <v>47</v>
      </c>
      <c r="C14" s="43"/>
      <c r="D14" s="43"/>
      <c r="E14" s="43"/>
      <c r="F14" s="43"/>
      <c r="G14" s="45">
        <f>G13</f>
        <v>450</v>
      </c>
      <c r="H14" s="45">
        <f>H13</f>
        <v>45000</v>
      </c>
      <c r="I14" s="216">
        <f>H14/$H$64</f>
        <v>0.31416669552992377</v>
      </c>
      <c r="K14" s="158"/>
      <c r="AJ14" s="149"/>
      <c r="AK14" s="149"/>
      <c r="AL14" s="149"/>
      <c r="AM14" s="149"/>
      <c r="AN14" s="149"/>
      <c r="AO14" s="150"/>
      <c r="AT14" s="156"/>
    </row>
    <row r="15" spans="1:46" ht="18.649999999999999" customHeight="1" thickTop="1">
      <c r="B15" s="17"/>
      <c r="E15" s="12"/>
      <c r="F15" s="18"/>
      <c r="G15" s="12"/>
      <c r="H15" s="18"/>
      <c r="K15" s="158"/>
      <c r="AJ15" s="149"/>
      <c r="AK15" s="149"/>
      <c r="AL15" s="149"/>
      <c r="AM15" s="149"/>
      <c r="AN15" s="149"/>
      <c r="AO15" s="150"/>
      <c r="AT15" s="156"/>
    </row>
    <row r="16" spans="1:46" ht="18.649999999999999" customHeight="1">
      <c r="B16" s="17"/>
      <c r="E16" s="12"/>
      <c r="F16" s="18"/>
      <c r="G16" s="12"/>
      <c r="H16" s="18"/>
      <c r="K16" s="158"/>
      <c r="AJ16" s="149"/>
      <c r="AK16" s="149"/>
      <c r="AL16" s="149"/>
      <c r="AM16" s="149"/>
      <c r="AN16" s="149"/>
      <c r="AO16" s="150"/>
      <c r="AT16" s="156"/>
    </row>
    <row r="17" spans="2:46">
      <c r="B17" s="40" t="s">
        <v>72</v>
      </c>
      <c r="E17" s="12"/>
      <c r="F17" s="12"/>
      <c r="G17" s="12"/>
      <c r="K17" s="158"/>
      <c r="AJ17" s="149"/>
      <c r="AK17" s="149"/>
      <c r="AL17" s="149"/>
      <c r="AM17" s="149"/>
      <c r="AN17" s="149"/>
      <c r="AO17" s="150"/>
      <c r="AT17" s="156"/>
    </row>
    <row r="18" spans="2:46">
      <c r="E18" s="12"/>
      <c r="F18" s="12"/>
      <c r="G18" s="12"/>
      <c r="K18" s="158"/>
      <c r="AJ18" s="149"/>
      <c r="AK18" s="149"/>
      <c r="AL18" s="149"/>
      <c r="AM18" s="149"/>
      <c r="AN18" s="149"/>
      <c r="AO18" s="150"/>
      <c r="AT18" s="156"/>
    </row>
    <row r="19" spans="2:46">
      <c r="B19" s="41" t="s">
        <v>71</v>
      </c>
      <c r="C19" s="41" t="s">
        <v>13</v>
      </c>
      <c r="D19" s="41" t="s">
        <v>40</v>
      </c>
      <c r="E19" s="41" t="s">
        <v>66</v>
      </c>
      <c r="F19" s="42" t="s">
        <v>49</v>
      </c>
      <c r="G19" s="41" t="s">
        <v>67</v>
      </c>
      <c r="H19" s="41" t="s">
        <v>15</v>
      </c>
      <c r="I19" s="41" t="s">
        <v>154</v>
      </c>
      <c r="K19" s="158"/>
      <c r="AJ19" s="149"/>
      <c r="AK19" s="149"/>
      <c r="AL19" s="149"/>
      <c r="AM19" s="149"/>
      <c r="AN19" s="149"/>
      <c r="AO19" s="150"/>
      <c r="AT19" s="156"/>
    </row>
    <row r="20" spans="2:46">
      <c r="B20" s="19" t="s">
        <v>1</v>
      </c>
      <c r="C20" s="19" t="s">
        <v>19</v>
      </c>
      <c r="D20" s="189">
        <v>17</v>
      </c>
      <c r="E20" s="21">
        <v>300</v>
      </c>
      <c r="F20" s="22">
        <f>C$7</f>
        <v>98</v>
      </c>
      <c r="G20" s="22">
        <f>D20*E20/F20</f>
        <v>52.04081632653061</v>
      </c>
      <c r="H20" s="110">
        <f>G20*F20</f>
        <v>5100</v>
      </c>
      <c r="I20" s="215">
        <f>H20/$H$64</f>
        <v>3.5605558826724698E-2</v>
      </c>
      <c r="K20" s="158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49"/>
      <c r="AL20" s="149"/>
      <c r="AM20" s="149"/>
      <c r="AN20" s="149"/>
      <c r="AO20" s="150"/>
      <c r="AT20" s="156"/>
    </row>
    <row r="21" spans="2:46">
      <c r="B21" s="19" t="s">
        <v>121</v>
      </c>
      <c r="C21" s="19" t="s">
        <v>14</v>
      </c>
      <c r="D21" s="190">
        <f>'Suplemento y Heno'!C9+'Suplemento y Heno'!D9+'Suplemento y Heno'!E9+'Suplemento y Heno'!M9+'Suplemento y Heno'!N9</f>
        <v>6074.4320000000016</v>
      </c>
      <c r="E21" s="23">
        <v>3</v>
      </c>
      <c r="F21" s="22">
        <f>C$7</f>
        <v>98</v>
      </c>
      <c r="G21" s="22">
        <f>D21*E21/F21</f>
        <v>185.95200000000006</v>
      </c>
      <c r="H21" s="22">
        <f t="shared" ref="H21:H22" si="0">G21*F21</f>
        <v>18223.296000000006</v>
      </c>
      <c r="I21" s="215"/>
      <c r="J21" s="10" t="s">
        <v>155</v>
      </c>
      <c r="K21" s="158"/>
      <c r="AJ21" s="149"/>
      <c r="AK21" s="149"/>
      <c r="AL21" s="149"/>
      <c r="AM21" s="149"/>
      <c r="AN21" s="149"/>
      <c r="AO21" s="150"/>
      <c r="AT21" s="156"/>
    </row>
    <row r="22" spans="2:46">
      <c r="B22" s="19" t="s">
        <v>16</v>
      </c>
      <c r="C22" s="19" t="s">
        <v>21</v>
      </c>
      <c r="D22" s="191">
        <f>'Suplemento y Heno'!C23+'Suplemento y Heno'!D23+'Suplemento y Heno'!E23+'Suplemento y Heno'!M23+'Suplemento y Heno'!N23</f>
        <v>200.65499999999997</v>
      </c>
      <c r="E22" s="25">
        <v>30</v>
      </c>
      <c r="F22" s="22">
        <f>C$7</f>
        <v>98</v>
      </c>
      <c r="G22" s="22">
        <f>D22*E22/F22</f>
        <v>61.424999999999997</v>
      </c>
      <c r="H22" s="22">
        <f t="shared" si="0"/>
        <v>6019.65</v>
      </c>
      <c r="I22" s="215"/>
      <c r="J22" s="10" t="s">
        <v>155</v>
      </c>
      <c r="K22" s="158"/>
      <c r="S22" s="165"/>
      <c r="T22" s="165"/>
      <c r="U22" s="165"/>
      <c r="AC22" s="165"/>
      <c r="AD22" s="165"/>
      <c r="AJ22" s="149"/>
      <c r="AK22" s="149"/>
      <c r="AL22" s="149"/>
      <c r="AM22" s="149"/>
      <c r="AN22" s="149"/>
      <c r="AO22" s="150"/>
      <c r="AT22" s="156"/>
    </row>
    <row r="23" spans="2:46" ht="14.5" thickBot="1">
      <c r="B23" s="43" t="s">
        <v>47</v>
      </c>
      <c r="C23" s="43"/>
      <c r="D23" s="43"/>
      <c r="E23" s="43"/>
      <c r="F23" s="43"/>
      <c r="G23" s="45">
        <f>G20</f>
        <v>52.04081632653061</v>
      </c>
      <c r="H23" s="45">
        <f>H20</f>
        <v>5100</v>
      </c>
      <c r="I23" s="216">
        <f>H23/$H$64</f>
        <v>3.5605558826724698E-2</v>
      </c>
      <c r="K23" s="158"/>
      <c r="AJ23" s="149"/>
      <c r="AK23" s="149"/>
      <c r="AL23" s="149"/>
      <c r="AM23" s="149"/>
      <c r="AN23" s="149"/>
      <c r="AO23" s="150"/>
      <c r="AT23" s="156"/>
    </row>
    <row r="24" spans="2:46" ht="14.5" thickTop="1">
      <c r="K24" s="158"/>
      <c r="AJ24" s="149"/>
      <c r="AK24" s="149"/>
      <c r="AL24" s="149"/>
      <c r="AM24" s="149"/>
      <c r="AN24" s="149"/>
      <c r="AO24" s="150"/>
      <c r="AT24" s="156"/>
    </row>
    <row r="25" spans="2:46">
      <c r="K25" s="158"/>
      <c r="AJ25" s="149"/>
      <c r="AK25" s="149"/>
      <c r="AL25" s="149"/>
      <c r="AM25" s="149"/>
      <c r="AN25" s="149"/>
      <c r="AO25" s="150"/>
      <c r="AT25" s="156"/>
    </row>
    <row r="26" spans="2:46" ht="14.5">
      <c r="B26" s="40" t="s">
        <v>73</v>
      </c>
      <c r="H26" s="11"/>
      <c r="K26" s="159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 s="149"/>
      <c r="AK26" s="149"/>
      <c r="AL26" s="149"/>
      <c r="AM26" s="149"/>
      <c r="AN26" s="149"/>
      <c r="AO26" s="150"/>
      <c r="AT26" s="156"/>
    </row>
    <row r="27" spans="2:46" ht="14.5">
      <c r="K27" s="159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149"/>
      <c r="AK27" s="149"/>
      <c r="AL27" s="149"/>
      <c r="AM27" s="149"/>
      <c r="AN27" s="149"/>
      <c r="AO27" s="150"/>
      <c r="AT27" s="156"/>
    </row>
    <row r="28" spans="2:46" ht="14.5">
      <c r="B28" s="41" t="s">
        <v>140</v>
      </c>
      <c r="C28" s="41" t="s">
        <v>13</v>
      </c>
      <c r="D28" s="41" t="s">
        <v>40</v>
      </c>
      <c r="E28" s="41" t="s">
        <v>66</v>
      </c>
      <c r="F28" s="42" t="s">
        <v>49</v>
      </c>
      <c r="G28" s="41" t="s">
        <v>67</v>
      </c>
      <c r="H28" s="41" t="s">
        <v>15</v>
      </c>
      <c r="I28" s="41" t="s">
        <v>154</v>
      </c>
      <c r="J28" s="102"/>
      <c r="K28" s="159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149"/>
      <c r="AK28" s="149"/>
      <c r="AL28" s="149"/>
      <c r="AM28" s="149"/>
      <c r="AN28" s="149"/>
      <c r="AO28" s="150"/>
      <c r="AT28" s="156"/>
    </row>
    <row r="29" spans="2:46">
      <c r="B29" s="19" t="s">
        <v>22</v>
      </c>
      <c r="C29" s="19" t="s">
        <v>3</v>
      </c>
      <c r="D29" s="192">
        <f>(16/24)*C7</f>
        <v>65.333333333333329</v>
      </c>
      <c r="E29" s="21">
        <v>3.5</v>
      </c>
      <c r="F29" s="22">
        <f t="shared" ref="F29:F38" si="1">C$7</f>
        <v>98</v>
      </c>
      <c r="G29" s="197">
        <f>D29*E29/F29</f>
        <v>2.333333333333333</v>
      </c>
      <c r="H29" s="198">
        <f t="shared" ref="H29:H38" si="2">G29*F29</f>
        <v>228.66666666666663</v>
      </c>
      <c r="I29" s="215">
        <f>H29/$H$64</f>
        <v>1.5964322454335384E-3</v>
      </c>
      <c r="J29" s="107"/>
      <c r="K29" s="158"/>
      <c r="S29" s="165"/>
      <c r="AJ29" s="149"/>
      <c r="AK29" s="149"/>
      <c r="AL29" s="149"/>
      <c r="AM29" s="149"/>
      <c r="AN29" s="149"/>
      <c r="AO29" s="150"/>
      <c r="AT29" s="156"/>
    </row>
    <row r="30" spans="2:46">
      <c r="B30" s="19" t="s">
        <v>23</v>
      </c>
      <c r="C30" s="29" t="s">
        <v>3</v>
      </c>
      <c r="D30" s="193">
        <f>4*C7</f>
        <v>392</v>
      </c>
      <c r="E30" s="31">
        <v>2</v>
      </c>
      <c r="F30" s="22">
        <f t="shared" si="1"/>
        <v>98</v>
      </c>
      <c r="G30" s="197">
        <f t="shared" ref="G30:G38" si="3">D30*E30/F30</f>
        <v>8</v>
      </c>
      <c r="H30" s="198">
        <f t="shared" si="2"/>
        <v>784</v>
      </c>
      <c r="I30" s="215">
        <f t="shared" ref="I30" si="4">H30/$H$64</f>
        <v>5.4734819843435612E-3</v>
      </c>
      <c r="J30" s="107"/>
      <c r="K30" s="158"/>
      <c r="S30" s="165"/>
      <c r="T30" s="114" t="s">
        <v>122</v>
      </c>
      <c r="U30" s="114" t="s">
        <v>122</v>
      </c>
      <c r="V30" s="114" t="s">
        <v>122</v>
      </c>
      <c r="W30" s="114" t="s">
        <v>122</v>
      </c>
      <c r="X30" s="114" t="s">
        <v>122</v>
      </c>
      <c r="AF30" s="114" t="s">
        <v>122</v>
      </c>
      <c r="AG30" s="114" t="s">
        <v>122</v>
      </c>
      <c r="AH30" s="114" t="s">
        <v>122</v>
      </c>
      <c r="AI30" s="114" t="s">
        <v>122</v>
      </c>
      <c r="AJ30" s="114" t="s">
        <v>122</v>
      </c>
      <c r="AK30" s="149"/>
      <c r="AL30" s="149"/>
      <c r="AM30" s="149"/>
      <c r="AN30" s="149"/>
      <c r="AO30" s="150"/>
      <c r="AT30" s="156"/>
    </row>
    <row r="31" spans="2:46">
      <c r="B31" s="19" t="s">
        <v>24</v>
      </c>
      <c r="C31" s="29" t="s">
        <v>3</v>
      </c>
      <c r="D31" s="194">
        <f>(20/24)*C7</f>
        <v>81.666666666666671</v>
      </c>
      <c r="E31" s="31">
        <v>3.6</v>
      </c>
      <c r="F31" s="22">
        <f t="shared" si="1"/>
        <v>98</v>
      </c>
      <c r="G31" s="197">
        <f t="shared" si="3"/>
        <v>3</v>
      </c>
      <c r="H31" s="198">
        <f t="shared" si="2"/>
        <v>294</v>
      </c>
      <c r="I31" s="215">
        <f>H31/$H$64</f>
        <v>2.0525557441288356E-3</v>
      </c>
      <c r="J31" s="107"/>
      <c r="K31" s="158"/>
      <c r="S31" s="165"/>
      <c r="AJ31" s="149"/>
      <c r="AK31" s="149"/>
      <c r="AL31" s="149"/>
      <c r="AM31" s="149"/>
      <c r="AN31" s="149"/>
      <c r="AO31" s="150"/>
      <c r="AT31" s="156"/>
    </row>
    <row r="32" spans="2:46">
      <c r="B32" s="19" t="s">
        <v>7</v>
      </c>
      <c r="C32" s="19" t="s">
        <v>3</v>
      </c>
      <c r="D32" s="189">
        <f>4*C7</f>
        <v>392</v>
      </c>
      <c r="E32" s="21">
        <v>1.6</v>
      </c>
      <c r="F32" s="22">
        <f t="shared" si="1"/>
        <v>98</v>
      </c>
      <c r="G32" s="197">
        <f t="shared" si="3"/>
        <v>6.4</v>
      </c>
      <c r="H32" s="198">
        <f t="shared" si="2"/>
        <v>627.20000000000005</v>
      </c>
      <c r="I32" s="215">
        <f t="shared" ref="I32:I38" si="5">H32/$H$64</f>
        <v>4.3787855874748488E-3</v>
      </c>
      <c r="J32" s="107"/>
      <c r="K32" s="158"/>
      <c r="AJ32" s="149"/>
      <c r="AK32" s="149"/>
      <c r="AL32" s="149"/>
      <c r="AM32" s="149"/>
      <c r="AN32" s="149"/>
      <c r="AO32" s="150"/>
      <c r="AT32" s="156"/>
    </row>
    <row r="33" spans="2:46">
      <c r="B33" s="19" t="s">
        <v>8</v>
      </c>
      <c r="C33" s="19" t="s">
        <v>4</v>
      </c>
      <c r="D33" s="189">
        <f>2*C7</f>
        <v>196</v>
      </c>
      <c r="E33" s="21">
        <v>1</v>
      </c>
      <c r="F33" s="22">
        <f t="shared" si="1"/>
        <v>98</v>
      </c>
      <c r="G33" s="197">
        <f t="shared" si="3"/>
        <v>2</v>
      </c>
      <c r="H33" s="198">
        <f t="shared" si="2"/>
        <v>196</v>
      </c>
      <c r="I33" s="215">
        <f t="shared" si="5"/>
        <v>1.3683704960858903E-3</v>
      </c>
      <c r="J33" s="107"/>
      <c r="K33" s="158"/>
      <c r="S33" s="165"/>
      <c r="AJ33" s="149"/>
      <c r="AK33" s="149"/>
      <c r="AL33" s="149"/>
      <c r="AM33" s="149"/>
      <c r="AN33" s="149"/>
      <c r="AO33" s="150"/>
      <c r="AT33" s="156"/>
    </row>
    <row r="34" spans="2:46">
      <c r="B34" s="19" t="s">
        <v>9</v>
      </c>
      <c r="C34" s="19" t="s">
        <v>5</v>
      </c>
      <c r="D34" s="189">
        <f>1*C7</f>
        <v>98</v>
      </c>
      <c r="E34" s="21">
        <v>10</v>
      </c>
      <c r="F34" s="22">
        <f t="shared" si="1"/>
        <v>98</v>
      </c>
      <c r="G34" s="197">
        <f t="shared" si="3"/>
        <v>10</v>
      </c>
      <c r="H34" s="198">
        <f t="shared" si="2"/>
        <v>980</v>
      </c>
      <c r="I34" s="215">
        <f t="shared" si="5"/>
        <v>6.8418524804294513E-3</v>
      </c>
      <c r="J34" s="107"/>
      <c r="K34" s="158"/>
      <c r="S34" s="165"/>
      <c r="AJ34" s="149"/>
      <c r="AK34" s="149"/>
      <c r="AL34" s="149"/>
      <c r="AM34" s="149"/>
      <c r="AN34" s="149"/>
      <c r="AO34" s="150"/>
      <c r="AT34" s="156"/>
    </row>
    <row r="35" spans="2:46">
      <c r="B35" s="19" t="s">
        <v>29</v>
      </c>
      <c r="C35" s="33" t="s">
        <v>13</v>
      </c>
      <c r="D35" s="195">
        <f>1*C7</f>
        <v>98</v>
      </c>
      <c r="E35" s="23">
        <v>2</v>
      </c>
      <c r="F35" s="22">
        <f t="shared" si="1"/>
        <v>98</v>
      </c>
      <c r="G35" s="197">
        <f t="shared" si="3"/>
        <v>2</v>
      </c>
      <c r="H35" s="198">
        <f t="shared" si="2"/>
        <v>196</v>
      </c>
      <c r="I35" s="215">
        <f t="shared" si="5"/>
        <v>1.3683704960858903E-3</v>
      </c>
      <c r="J35" s="107"/>
      <c r="K35" s="158"/>
      <c r="S35" s="165"/>
      <c r="AJ35" s="149"/>
      <c r="AK35" s="149"/>
      <c r="AL35" s="149"/>
      <c r="AM35" s="149"/>
      <c r="AN35" s="149"/>
      <c r="AO35" s="150"/>
      <c r="AT35" s="156"/>
    </row>
    <row r="36" spans="2:46">
      <c r="B36" s="19" t="s">
        <v>25</v>
      </c>
      <c r="C36" s="19" t="s">
        <v>4</v>
      </c>
      <c r="D36" s="189">
        <f>1*C7</f>
        <v>98</v>
      </c>
      <c r="E36" s="21">
        <f>(45/24)</f>
        <v>1.875</v>
      </c>
      <c r="F36" s="22">
        <f t="shared" si="1"/>
        <v>98</v>
      </c>
      <c r="G36" s="197">
        <f t="shared" si="3"/>
        <v>1.875</v>
      </c>
      <c r="H36" s="198">
        <f t="shared" si="2"/>
        <v>183.75</v>
      </c>
      <c r="I36" s="215">
        <f t="shared" si="5"/>
        <v>1.2828473400805221E-3</v>
      </c>
      <c r="J36" s="107"/>
      <c r="K36" s="158"/>
      <c r="AJ36" s="149"/>
      <c r="AK36" s="149"/>
      <c r="AL36" s="149"/>
      <c r="AM36" s="149"/>
      <c r="AN36" s="149"/>
      <c r="AO36" s="150"/>
      <c r="AT36" s="156"/>
    </row>
    <row r="37" spans="2:46">
      <c r="B37" s="19" t="s">
        <v>26</v>
      </c>
      <c r="C37" s="19" t="s">
        <v>3</v>
      </c>
      <c r="D37" s="189">
        <f>2*C7</f>
        <v>196</v>
      </c>
      <c r="E37" s="21">
        <f>(5/6)</f>
        <v>0.83333333333333337</v>
      </c>
      <c r="F37" s="22">
        <f t="shared" si="1"/>
        <v>98</v>
      </c>
      <c r="G37" s="197">
        <f t="shared" si="3"/>
        <v>1.6666666666666667</v>
      </c>
      <c r="H37" s="198">
        <f t="shared" si="2"/>
        <v>163.33333333333334</v>
      </c>
      <c r="I37" s="215">
        <f t="shared" si="5"/>
        <v>1.140308746738242E-3</v>
      </c>
      <c r="J37" s="107"/>
      <c r="K37" s="158"/>
      <c r="AJ37" s="149"/>
      <c r="AK37" s="149"/>
      <c r="AL37" s="149"/>
      <c r="AM37" s="149"/>
      <c r="AN37" s="149"/>
      <c r="AO37" s="150"/>
      <c r="AT37" s="156"/>
    </row>
    <row r="38" spans="2:46">
      <c r="B38" s="19" t="s">
        <v>27</v>
      </c>
      <c r="C38" s="19" t="s">
        <v>3</v>
      </c>
      <c r="D38" s="189">
        <f>2*C7</f>
        <v>196</v>
      </c>
      <c r="E38" s="21">
        <v>2</v>
      </c>
      <c r="F38" s="22">
        <f t="shared" si="1"/>
        <v>98</v>
      </c>
      <c r="G38" s="197">
        <f t="shared" si="3"/>
        <v>4</v>
      </c>
      <c r="H38" s="198">
        <f t="shared" si="2"/>
        <v>392</v>
      </c>
      <c r="I38" s="215">
        <f t="shared" si="5"/>
        <v>2.7367409921717806E-3</v>
      </c>
      <c r="K38" s="160"/>
      <c r="AJ38" s="149"/>
      <c r="AK38" s="149"/>
      <c r="AL38" s="149"/>
      <c r="AM38" s="149"/>
      <c r="AN38" s="149"/>
      <c r="AO38" s="150"/>
      <c r="AT38" s="156"/>
    </row>
    <row r="39" spans="2:46" ht="14.5" thickBot="1">
      <c r="B39" s="43" t="s">
        <v>47</v>
      </c>
      <c r="C39" s="43"/>
      <c r="D39" s="43"/>
      <c r="E39" s="43"/>
      <c r="F39" s="43"/>
      <c r="G39" s="45">
        <f>SUM(G29:G38)</f>
        <v>41.274999999999999</v>
      </c>
      <c r="H39" s="45">
        <f>SUM(H29:H38)</f>
        <v>4044.9500000000003</v>
      </c>
      <c r="I39" s="216">
        <f>H39/$H$64</f>
        <v>2.8239746112972561E-2</v>
      </c>
      <c r="K39" s="161"/>
      <c r="AJ39" s="149"/>
      <c r="AK39" s="149"/>
      <c r="AL39" s="149"/>
      <c r="AM39" s="149"/>
      <c r="AN39" s="149"/>
      <c r="AO39" s="150"/>
      <c r="AT39" s="156"/>
    </row>
    <row r="40" spans="2:46" ht="14.5" thickTop="1">
      <c r="E40" s="27"/>
      <c r="F40" s="27"/>
      <c r="K40" s="161"/>
      <c r="AJ40" s="149"/>
      <c r="AK40" s="149"/>
      <c r="AL40" s="149"/>
      <c r="AM40" s="149"/>
      <c r="AN40" s="149"/>
      <c r="AO40" s="150"/>
      <c r="AT40" s="156"/>
    </row>
    <row r="41" spans="2:46">
      <c r="E41" s="27"/>
      <c r="F41" s="27"/>
      <c r="K41" s="161"/>
      <c r="AJ41" s="149"/>
      <c r="AK41" s="149"/>
      <c r="AL41" s="149"/>
      <c r="AM41" s="149"/>
      <c r="AN41" s="149"/>
      <c r="AO41" s="150"/>
      <c r="AT41" s="156"/>
    </row>
    <row r="42" spans="2:46">
      <c r="B42" s="40" t="s">
        <v>74</v>
      </c>
      <c r="H42" s="11"/>
      <c r="K42" s="161"/>
      <c r="AJ42" s="149"/>
      <c r="AK42" s="149"/>
      <c r="AL42" s="149"/>
      <c r="AM42" s="149"/>
      <c r="AN42" s="149"/>
      <c r="AO42" s="150"/>
      <c r="AT42" s="156"/>
    </row>
    <row r="43" spans="2:46">
      <c r="K43" s="161"/>
      <c r="AJ43" s="149"/>
      <c r="AK43" s="149"/>
      <c r="AL43" s="149"/>
      <c r="AM43" s="149"/>
      <c r="AN43" s="149"/>
      <c r="AO43" s="150"/>
      <c r="AT43" s="156"/>
    </row>
    <row r="44" spans="2:46">
      <c r="B44" s="41" t="s">
        <v>65</v>
      </c>
      <c r="C44" s="41" t="s">
        <v>13</v>
      </c>
      <c r="D44" s="41" t="s">
        <v>40</v>
      </c>
      <c r="E44" s="41" t="s">
        <v>66</v>
      </c>
      <c r="F44" s="42" t="s">
        <v>49</v>
      </c>
      <c r="G44" s="41" t="s">
        <v>67</v>
      </c>
      <c r="H44" s="41" t="s">
        <v>15</v>
      </c>
      <c r="I44" s="41" t="s">
        <v>154</v>
      </c>
      <c r="K44" s="161"/>
      <c r="AJ44" s="149"/>
      <c r="AK44" s="149"/>
      <c r="AL44" s="149"/>
      <c r="AM44" s="149"/>
      <c r="AN44" s="149"/>
      <c r="AO44" s="150"/>
      <c r="AT44" s="156"/>
    </row>
    <row r="45" spans="2:46" ht="14.5">
      <c r="B45" s="19" t="s">
        <v>50</v>
      </c>
      <c r="C45" s="26" t="s">
        <v>62</v>
      </c>
      <c r="D45" s="196">
        <f>C$7</f>
        <v>98</v>
      </c>
      <c r="E45" s="101">
        <v>15</v>
      </c>
      <c r="F45" s="116">
        <f>C$7</f>
        <v>98</v>
      </c>
      <c r="G45" s="200">
        <f>D45*E45/F45</f>
        <v>15</v>
      </c>
      <c r="H45" s="201">
        <f>G45*F45</f>
        <v>1470</v>
      </c>
      <c r="I45" s="215">
        <f>H45/$H$64</f>
        <v>1.0262778720644176E-2</v>
      </c>
      <c r="K45" s="159"/>
      <c r="AJ45" s="165"/>
      <c r="AK45" s="149"/>
      <c r="AL45" s="149"/>
      <c r="AM45" s="149"/>
      <c r="AN45" s="149"/>
      <c r="AO45" s="150"/>
      <c r="AT45" s="156"/>
    </row>
    <row r="46" spans="2:46" ht="14.5">
      <c r="B46" s="19" t="s">
        <v>10</v>
      </c>
      <c r="C46" s="26" t="s">
        <v>62</v>
      </c>
      <c r="D46" s="196">
        <f t="shared" ref="D46" si="6">C$7</f>
        <v>98</v>
      </c>
      <c r="E46" s="101">
        <v>20</v>
      </c>
      <c r="F46" s="116">
        <f t="shared" ref="F46" si="7">C$7</f>
        <v>98</v>
      </c>
      <c r="G46" s="200">
        <f t="shared" ref="G46" si="8">D46*E46/F46</f>
        <v>20</v>
      </c>
      <c r="H46" s="201">
        <f>G46*F46</f>
        <v>1960</v>
      </c>
      <c r="I46" s="215">
        <f t="shared" ref="I46:I47" si="9">H46/$H$64</f>
        <v>1.3683704960858903E-2</v>
      </c>
      <c r="K46" s="159"/>
      <c r="AJ46" s="165"/>
      <c r="AK46" s="149"/>
      <c r="AL46" s="149"/>
      <c r="AM46" s="149"/>
      <c r="AN46" s="149"/>
      <c r="AO46" s="150"/>
      <c r="AT46" s="156"/>
    </row>
    <row r="47" spans="2:46" ht="14.5">
      <c r="B47" s="33"/>
      <c r="C47" s="33"/>
      <c r="D47" s="24"/>
      <c r="E47" s="24"/>
      <c r="F47" s="117"/>
      <c r="G47" s="23"/>
      <c r="H47" s="117"/>
      <c r="I47" s="215">
        <f t="shared" si="9"/>
        <v>0</v>
      </c>
      <c r="K47" s="159"/>
      <c r="AJ47" s="149"/>
      <c r="AK47" s="149"/>
      <c r="AL47" s="149"/>
      <c r="AM47" s="149"/>
      <c r="AN47" s="149"/>
      <c r="AO47" s="150"/>
      <c r="AT47" s="156"/>
    </row>
    <row r="48" spans="2:46" ht="15" thickBot="1">
      <c r="B48" s="43" t="s">
        <v>47</v>
      </c>
      <c r="C48" s="43"/>
      <c r="D48" s="43"/>
      <c r="E48" s="43"/>
      <c r="F48" s="43"/>
      <c r="G48" s="45">
        <f>SUM(G45:G47)</f>
        <v>35</v>
      </c>
      <c r="H48" s="45">
        <f>SUM(H45:H46)</f>
        <v>3430</v>
      </c>
      <c r="I48" s="216">
        <f>H48/$H$64</f>
        <v>2.3946483681503081E-2</v>
      </c>
      <c r="K48" s="159"/>
      <c r="AJ48" s="149"/>
      <c r="AK48" s="149"/>
      <c r="AL48" s="149"/>
      <c r="AM48" s="149"/>
      <c r="AN48" s="149"/>
      <c r="AO48" s="150"/>
      <c r="AT48" s="156"/>
    </row>
    <row r="49" spans="2:46" ht="14.5" thickTop="1">
      <c r="K49" s="158"/>
      <c r="AJ49" s="149"/>
      <c r="AK49" s="149"/>
      <c r="AL49" s="149"/>
      <c r="AM49" s="149"/>
      <c r="AN49" s="149"/>
      <c r="AO49" s="150"/>
      <c r="AT49" s="156"/>
    </row>
    <row r="50" spans="2:46">
      <c r="K50" s="158"/>
      <c r="AJ50" s="149"/>
      <c r="AK50" s="149"/>
      <c r="AL50" s="149"/>
      <c r="AM50" s="149"/>
      <c r="AN50" s="149"/>
      <c r="AO50" s="150"/>
      <c r="AT50" s="156"/>
    </row>
    <row r="51" spans="2:46" ht="14.5" thickBot="1">
      <c r="B51" s="56" t="s">
        <v>92</v>
      </c>
      <c r="C51" s="57"/>
      <c r="D51" s="58"/>
      <c r="E51" s="58"/>
      <c r="F51" s="58"/>
      <c r="G51" s="219">
        <f>G14+G23+G39+G48</f>
        <v>578.31581632653058</v>
      </c>
      <c r="H51" s="219">
        <f>H14+H23+H39+H48</f>
        <v>57574.95</v>
      </c>
      <c r="I51" s="217">
        <f>H51/$H$64</f>
        <v>0.40195848415112412</v>
      </c>
      <c r="K51" s="158"/>
      <c r="AJ51" s="149"/>
      <c r="AK51" s="149"/>
      <c r="AL51" s="149"/>
      <c r="AM51" s="149"/>
      <c r="AN51" s="149"/>
      <c r="AO51" s="150"/>
      <c r="AT51" s="156"/>
    </row>
    <row r="52" spans="2:46" ht="14.5" thickTop="1">
      <c r="K52" s="158"/>
      <c r="AJ52" s="149"/>
      <c r="AK52" s="149"/>
      <c r="AL52" s="149"/>
      <c r="AM52" s="149"/>
      <c r="AN52" s="149"/>
      <c r="AO52" s="150"/>
      <c r="AT52" s="156"/>
    </row>
    <row r="53" spans="2:46">
      <c r="K53" s="158"/>
      <c r="AJ53" s="149"/>
      <c r="AK53" s="149"/>
      <c r="AL53" s="149"/>
      <c r="AM53" s="149"/>
      <c r="AN53" s="149"/>
      <c r="AO53" s="150"/>
      <c r="AT53" s="156"/>
    </row>
    <row r="54" spans="2:46">
      <c r="B54" s="40" t="s">
        <v>138</v>
      </c>
      <c r="K54" s="158"/>
      <c r="AJ54" s="149"/>
      <c r="AK54" s="149"/>
      <c r="AL54" s="149"/>
      <c r="AM54" s="149"/>
      <c r="AN54" s="149"/>
      <c r="AO54" s="150"/>
      <c r="AT54" s="156"/>
    </row>
    <row r="55" spans="2:46">
      <c r="B55" s="41" t="s">
        <v>141</v>
      </c>
      <c r="C55" s="41" t="s">
        <v>13</v>
      </c>
      <c r="D55" s="226" t="s">
        <v>40</v>
      </c>
      <c r="E55" s="41" t="s">
        <v>66</v>
      </c>
      <c r="F55" s="227" t="s">
        <v>49</v>
      </c>
      <c r="G55" s="41" t="s">
        <v>67</v>
      </c>
      <c r="H55" s="224" t="s">
        <v>15</v>
      </c>
      <c r="I55" s="41" t="s">
        <v>154</v>
      </c>
      <c r="K55" s="158"/>
      <c r="AJ55" s="149"/>
      <c r="AK55" s="149"/>
      <c r="AL55" s="149"/>
      <c r="AM55" s="149"/>
      <c r="AN55" s="149"/>
      <c r="AO55" s="150"/>
      <c r="AT55" s="156"/>
    </row>
    <row r="56" spans="2:46">
      <c r="B56" s="19" t="s">
        <v>163</v>
      </c>
      <c r="C56" s="19" t="s">
        <v>18</v>
      </c>
      <c r="D56" s="20">
        <v>17</v>
      </c>
      <c r="E56" s="20">
        <v>1200</v>
      </c>
      <c r="F56" s="20">
        <f t="shared" ref="F56:F58" si="10">C$7</f>
        <v>98</v>
      </c>
      <c r="G56" s="230">
        <f t="shared" ref="G56" si="11">D56*E56/F56</f>
        <v>208.16326530612244</v>
      </c>
      <c r="H56" s="228">
        <f>G56*F56</f>
        <v>20400</v>
      </c>
      <c r="I56" s="229">
        <f>H56/$H$64</f>
        <v>0.14242223530689879</v>
      </c>
      <c r="K56" s="158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49"/>
      <c r="AL56" s="149"/>
      <c r="AM56" s="149"/>
      <c r="AN56" s="149"/>
      <c r="AO56" s="150"/>
      <c r="AT56" s="156"/>
    </row>
    <row r="57" spans="2:46">
      <c r="B57" s="33" t="s">
        <v>90</v>
      </c>
      <c r="C57" s="19" t="s">
        <v>18</v>
      </c>
      <c r="D57" s="20">
        <v>17</v>
      </c>
      <c r="E57" s="24">
        <v>2000</v>
      </c>
      <c r="F57" s="20">
        <f t="shared" si="10"/>
        <v>98</v>
      </c>
      <c r="G57" s="230">
        <f>D57*E57/F57</f>
        <v>346.9387755102041</v>
      </c>
      <c r="H57" s="288">
        <f>G57*F57</f>
        <v>34000</v>
      </c>
      <c r="I57" s="229">
        <f>H57/$H$64</f>
        <v>0.23737039217816464</v>
      </c>
      <c r="K57" s="158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49"/>
      <c r="AL57" s="149"/>
      <c r="AM57" s="149"/>
      <c r="AN57" s="149"/>
      <c r="AO57" s="150"/>
      <c r="AT57" s="156"/>
    </row>
    <row r="58" spans="2:46">
      <c r="B58" s="19" t="s">
        <v>76</v>
      </c>
      <c r="C58" s="19" t="s">
        <v>18</v>
      </c>
      <c r="D58" s="20">
        <v>17</v>
      </c>
      <c r="E58" s="22">
        <f>Inversiones!$J$15</f>
        <v>1838.8888888888889</v>
      </c>
      <c r="F58" s="20">
        <f t="shared" si="10"/>
        <v>98</v>
      </c>
      <c r="G58" s="230">
        <f>D58*E58/F58</f>
        <v>318.99092970521542</v>
      </c>
      <c r="H58" s="228">
        <f>G58*F58</f>
        <v>31261.111111111109</v>
      </c>
      <c r="I58" s="229">
        <f>H58/$H$64</f>
        <v>0.21824888836381248</v>
      </c>
      <c r="K58" s="158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49"/>
      <c r="AL58" s="149"/>
      <c r="AM58" s="149"/>
      <c r="AN58" s="149"/>
      <c r="AO58" s="150"/>
      <c r="AT58" s="156"/>
    </row>
    <row r="59" spans="2:46" ht="14.5" thickBot="1">
      <c r="B59" s="43" t="s">
        <v>139</v>
      </c>
      <c r="C59" s="43"/>
      <c r="D59" s="43"/>
      <c r="E59" s="43"/>
      <c r="F59" s="43"/>
      <c r="G59" s="45">
        <f>SUM(G56:G58)</f>
        <v>874.09297052154193</v>
      </c>
      <c r="H59" s="213">
        <f>SUM(H56:H58)</f>
        <v>85661.111111111109</v>
      </c>
      <c r="I59" s="216">
        <f>H59/$H$64</f>
        <v>0.59804151584887588</v>
      </c>
      <c r="K59" s="158"/>
      <c r="AJ59" s="149"/>
      <c r="AK59" s="149"/>
      <c r="AL59" s="149"/>
      <c r="AM59" s="149"/>
      <c r="AN59" s="149"/>
      <c r="AO59" s="150"/>
      <c r="AT59" s="156"/>
    </row>
    <row r="60" spans="2:46" ht="14.5" thickTop="1">
      <c r="G60" s="214"/>
      <c r="K60" s="158"/>
      <c r="AJ60" s="149"/>
      <c r="AK60" s="149"/>
      <c r="AL60" s="149"/>
      <c r="AM60" s="149"/>
      <c r="AN60" s="149"/>
      <c r="AO60" s="150"/>
      <c r="AT60" s="156"/>
    </row>
    <row r="61" spans="2:46">
      <c r="K61" s="158"/>
      <c r="AJ61" s="149"/>
      <c r="AK61" s="149"/>
      <c r="AL61" s="149"/>
      <c r="AM61" s="149"/>
      <c r="AN61" s="149"/>
      <c r="AO61" s="150"/>
      <c r="AT61" s="156"/>
    </row>
    <row r="62" spans="2:46">
      <c r="K62" s="158"/>
      <c r="AJ62" s="149"/>
      <c r="AK62" s="149"/>
      <c r="AL62" s="149"/>
      <c r="AM62" s="149"/>
      <c r="AN62" s="149"/>
      <c r="AO62" s="150"/>
      <c r="AT62" s="156"/>
    </row>
    <row r="63" spans="2:46">
      <c r="K63" s="162"/>
      <c r="L63" s="163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AJ63" s="149"/>
      <c r="AK63" s="149"/>
      <c r="AL63" s="149"/>
      <c r="AM63" s="149"/>
      <c r="AN63" s="149"/>
      <c r="AO63" s="150"/>
      <c r="AT63" s="156"/>
    </row>
    <row r="64" spans="2:46" s="17" customFormat="1" ht="21" customHeight="1" thickBot="1">
      <c r="B64" s="151" t="s">
        <v>102</v>
      </c>
      <c r="C64" s="151"/>
      <c r="D64" s="151"/>
      <c r="E64" s="151"/>
      <c r="F64" s="151"/>
      <c r="G64" s="221">
        <f>G51+G59</f>
        <v>1452.4087868480724</v>
      </c>
      <c r="H64" s="208">
        <f>H51+H59</f>
        <v>143236.06111111111</v>
      </c>
      <c r="I64" s="218">
        <f>H64/$H$64</f>
        <v>1</v>
      </c>
      <c r="J64" s="153"/>
      <c r="K64" s="154"/>
      <c r="L64" s="155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4"/>
      <c r="AP64" s="154"/>
      <c r="AQ64" s="154"/>
      <c r="AR64" s="154"/>
      <c r="AS64" s="154"/>
      <c r="AT64" s="157"/>
    </row>
    <row r="65" spans="5:8" ht="14.5" thickTop="1">
      <c r="H65" s="108"/>
    </row>
    <row r="66" spans="5:8">
      <c r="E66" s="11" t="s">
        <v>152</v>
      </c>
      <c r="G66" s="220">
        <f>H64/C7</f>
        <v>1461.5924603174603</v>
      </c>
    </row>
  </sheetData>
  <mergeCells count="5">
    <mergeCell ref="AI11:AT11"/>
    <mergeCell ref="B4:G4"/>
    <mergeCell ref="K11:V11"/>
    <mergeCell ref="W11:AH11"/>
    <mergeCell ref="K4:P4"/>
  </mergeCells>
  <phoneticPr fontId="25" type="noConversion"/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E8E7-91C9-408F-9A2E-C7EA35A496FC}">
  <sheetPr>
    <tabColor rgb="FFFF0000"/>
  </sheetPr>
  <dimension ref="A4:AT67"/>
  <sheetViews>
    <sheetView showGridLines="0" topLeftCell="A8" zoomScale="115" zoomScaleNormal="115" workbookViewId="0">
      <selection activeCell="G25" sqref="G25"/>
    </sheetView>
  </sheetViews>
  <sheetFormatPr defaultColWidth="10.81640625" defaultRowHeight="14"/>
  <cols>
    <col min="1" max="1" width="3.453125" style="9" customWidth="1"/>
    <col min="2" max="2" width="49" style="9" customWidth="1"/>
    <col min="3" max="3" width="15" style="9" customWidth="1"/>
    <col min="4" max="4" width="11.81640625" style="10" customWidth="1"/>
    <col min="5" max="6" width="15" style="10" customWidth="1"/>
    <col min="7" max="7" width="17.54296875" style="10" customWidth="1"/>
    <col min="8" max="8" width="21.453125" style="9" customWidth="1"/>
    <col min="9" max="9" width="16.1796875" style="10" customWidth="1"/>
    <col min="10" max="10" width="29.453125" style="10" customWidth="1"/>
    <col min="11" max="11" width="13.1796875" style="9" customWidth="1"/>
    <col min="12" max="12" width="13.1796875" style="107" customWidth="1"/>
    <col min="13" max="40" width="13.1796875" style="10" customWidth="1"/>
    <col min="41" max="42" width="10.81640625" style="9"/>
    <col min="43" max="46" width="11.7265625" style="9" customWidth="1"/>
    <col min="47" max="16384" width="10.81640625" style="9"/>
  </cols>
  <sheetData>
    <row r="4" spans="1:46" ht="23">
      <c r="B4" s="273" t="s">
        <v>63</v>
      </c>
      <c r="C4" s="273"/>
      <c r="D4" s="273"/>
      <c r="E4" s="273"/>
      <c r="F4" s="273"/>
      <c r="G4" s="273"/>
    </row>
    <row r="5" spans="1:46">
      <c r="A5" s="11"/>
    </row>
    <row r="6" spans="1:46">
      <c r="A6" s="11"/>
      <c r="B6" s="7" t="s">
        <v>52</v>
      </c>
      <c r="C6" s="39" t="s">
        <v>49</v>
      </c>
    </row>
    <row r="7" spans="1:46">
      <c r="A7" s="11"/>
      <c r="B7" s="7" t="s">
        <v>64</v>
      </c>
      <c r="C7" s="39">
        <f>Supuestos!$V$16*(1-Supuestos!$I$5)</f>
        <v>98</v>
      </c>
    </row>
    <row r="8" spans="1:46">
      <c r="A8" s="11"/>
    </row>
    <row r="9" spans="1:46">
      <c r="A9" s="11"/>
    </row>
    <row r="10" spans="1:46">
      <c r="A10" s="11"/>
      <c r="B10" s="40" t="s">
        <v>68</v>
      </c>
      <c r="K10" s="112">
        <v>7</v>
      </c>
      <c r="L10" s="112">
        <v>8</v>
      </c>
      <c r="M10" s="112">
        <v>9</v>
      </c>
      <c r="N10" s="112">
        <v>10</v>
      </c>
      <c r="O10" s="112">
        <v>11</v>
      </c>
      <c r="P10" s="112">
        <v>12</v>
      </c>
      <c r="Q10" s="112">
        <v>13</v>
      </c>
      <c r="R10" s="112">
        <v>14</v>
      </c>
      <c r="S10" s="112">
        <v>15</v>
      </c>
      <c r="T10" s="112">
        <v>16</v>
      </c>
      <c r="U10" s="112">
        <v>17</v>
      </c>
      <c r="V10" s="112">
        <v>18</v>
      </c>
      <c r="W10" s="112">
        <v>19</v>
      </c>
      <c r="X10" s="112">
        <v>20</v>
      </c>
      <c r="Y10" s="112">
        <v>21</v>
      </c>
      <c r="Z10" s="112">
        <v>22</v>
      </c>
      <c r="AA10" s="112">
        <v>23</v>
      </c>
      <c r="AB10" s="112">
        <v>24</v>
      </c>
    </row>
    <row r="11" spans="1:46">
      <c r="E11" s="12"/>
      <c r="F11" s="12"/>
      <c r="G11" s="12"/>
      <c r="K11" s="281">
        <v>2024</v>
      </c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>
        <v>2025</v>
      </c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>
        <v>2026</v>
      </c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</row>
    <row r="12" spans="1:46">
      <c r="B12" s="41" t="s">
        <v>70</v>
      </c>
      <c r="C12" s="41" t="s">
        <v>13</v>
      </c>
      <c r="D12" s="41" t="s">
        <v>40</v>
      </c>
      <c r="E12" s="41" t="s">
        <v>66</v>
      </c>
      <c r="F12" s="42" t="s">
        <v>49</v>
      </c>
      <c r="G12" s="41" t="s">
        <v>67</v>
      </c>
      <c r="H12" s="41" t="s">
        <v>15</v>
      </c>
      <c r="I12" s="41" t="s">
        <v>154</v>
      </c>
      <c r="K12" s="62" t="s">
        <v>107</v>
      </c>
      <c r="L12" s="41" t="s">
        <v>108</v>
      </c>
      <c r="M12" s="42" t="s">
        <v>109</v>
      </c>
      <c r="N12" s="42" t="s">
        <v>110</v>
      </c>
      <c r="O12" s="42" t="s">
        <v>111</v>
      </c>
      <c r="P12" s="42" t="s">
        <v>112</v>
      </c>
      <c r="Q12" s="111" t="s">
        <v>113</v>
      </c>
      <c r="R12" s="111" t="s">
        <v>114</v>
      </c>
      <c r="S12" s="111" t="s">
        <v>115</v>
      </c>
      <c r="T12" s="111" t="s">
        <v>116</v>
      </c>
      <c r="U12" s="111" t="s">
        <v>117</v>
      </c>
      <c r="V12" s="42" t="s">
        <v>118</v>
      </c>
      <c r="W12" s="42" t="s">
        <v>119</v>
      </c>
      <c r="X12" s="42" t="s">
        <v>108</v>
      </c>
      <c r="Y12" s="42" t="s">
        <v>109</v>
      </c>
      <c r="Z12" s="42" t="s">
        <v>110</v>
      </c>
      <c r="AA12" s="42" t="s">
        <v>111</v>
      </c>
      <c r="AB12" s="42" t="s">
        <v>112</v>
      </c>
      <c r="AC12" s="42" t="s">
        <v>113</v>
      </c>
      <c r="AD12" s="42" t="s">
        <v>114</v>
      </c>
      <c r="AE12" s="42" t="s">
        <v>115</v>
      </c>
      <c r="AF12" s="42" t="s">
        <v>116</v>
      </c>
      <c r="AG12" s="42" t="s">
        <v>117</v>
      </c>
      <c r="AH12" s="42" t="s">
        <v>118</v>
      </c>
      <c r="AI12" s="42" t="s">
        <v>119</v>
      </c>
      <c r="AJ12" s="42" t="s">
        <v>108</v>
      </c>
      <c r="AK12" s="42" t="s">
        <v>109</v>
      </c>
      <c r="AL12" s="42" t="s">
        <v>110</v>
      </c>
      <c r="AM12" s="42" t="s">
        <v>111</v>
      </c>
      <c r="AN12" s="42" t="s">
        <v>112</v>
      </c>
      <c r="AO12" s="42" t="s">
        <v>113</v>
      </c>
      <c r="AP12" s="42" t="s">
        <v>114</v>
      </c>
      <c r="AQ12" s="42" t="s">
        <v>115</v>
      </c>
      <c r="AR12" s="42" t="s">
        <v>116</v>
      </c>
      <c r="AS12" s="42" t="s">
        <v>117</v>
      </c>
      <c r="AT12" s="42" t="s">
        <v>118</v>
      </c>
    </row>
    <row r="13" spans="1:46">
      <c r="B13" s="105" t="s">
        <v>69</v>
      </c>
      <c r="C13" s="13" t="s">
        <v>62</v>
      </c>
      <c r="D13" s="14">
        <f>Supuestos!$V$16</f>
        <v>100</v>
      </c>
      <c r="E13" s="15">
        <f>(45*10)</f>
        <v>450</v>
      </c>
      <c r="F13" s="16">
        <f>D13</f>
        <v>100</v>
      </c>
      <c r="G13" s="15">
        <f>D13*E13/F13</f>
        <v>450</v>
      </c>
      <c r="H13" s="16">
        <f>G13*F13</f>
        <v>45000</v>
      </c>
      <c r="I13" s="215">
        <f>H13/$H$64</f>
        <v>0.37924849616266076</v>
      </c>
    </row>
    <row r="14" spans="1:46" ht="18.649999999999999" customHeight="1" thickBot="1">
      <c r="B14" s="43" t="s">
        <v>47</v>
      </c>
      <c r="C14" s="43"/>
      <c r="D14" s="43"/>
      <c r="E14" s="43"/>
      <c r="F14" s="43"/>
      <c r="G14" s="44">
        <f>G13</f>
        <v>450</v>
      </c>
      <c r="H14" s="45">
        <f>H13</f>
        <v>45000</v>
      </c>
      <c r="I14" s="216">
        <f>H14/$H$64</f>
        <v>0.37924849616266076</v>
      </c>
    </row>
    <row r="15" spans="1:46" ht="18.649999999999999" customHeight="1" thickTop="1">
      <c r="B15" s="17"/>
      <c r="E15" s="12"/>
      <c r="F15" s="18"/>
      <c r="G15" s="18"/>
      <c r="H15" s="18"/>
    </row>
    <row r="16" spans="1:46" ht="18.649999999999999" customHeight="1">
      <c r="B16" s="17"/>
      <c r="E16" s="12"/>
      <c r="F16" s="18"/>
      <c r="G16" s="18"/>
      <c r="H16" s="18"/>
    </row>
    <row r="17" spans="2:34">
      <c r="B17" s="40" t="s">
        <v>72</v>
      </c>
      <c r="E17" s="12"/>
      <c r="F17" s="12"/>
      <c r="G17" s="12"/>
    </row>
    <row r="18" spans="2:34">
      <c r="E18" s="12"/>
      <c r="F18" s="12"/>
      <c r="G18" s="12"/>
    </row>
    <row r="19" spans="2:34">
      <c r="B19" s="41" t="s">
        <v>71</v>
      </c>
      <c r="C19" s="41" t="s">
        <v>13</v>
      </c>
      <c r="D19" s="41" t="s">
        <v>40</v>
      </c>
      <c r="E19" s="41" t="s">
        <v>66</v>
      </c>
      <c r="F19" s="42" t="s">
        <v>49</v>
      </c>
      <c r="G19" s="41" t="s">
        <v>67</v>
      </c>
      <c r="H19" s="41" t="s">
        <v>15</v>
      </c>
      <c r="I19" s="41" t="s">
        <v>154</v>
      </c>
    </row>
    <row r="20" spans="2:34">
      <c r="B20" s="19" t="s">
        <v>1</v>
      </c>
      <c r="C20" s="19" t="s">
        <v>19</v>
      </c>
      <c r="D20" s="20">
        <v>17</v>
      </c>
      <c r="E20" s="21">
        <v>300</v>
      </c>
      <c r="F20" s="22">
        <f>C$7</f>
        <v>98</v>
      </c>
      <c r="G20" s="21">
        <f>D20*E20/F20</f>
        <v>52.04081632653061</v>
      </c>
      <c r="H20" s="110">
        <f>G20*F20</f>
        <v>5100</v>
      </c>
      <c r="I20" s="215">
        <f>H20/$H$64</f>
        <v>4.2981496231768217E-2</v>
      </c>
      <c r="J20" s="107"/>
    </row>
    <row r="21" spans="2:34">
      <c r="B21" s="19" t="s">
        <v>121</v>
      </c>
      <c r="C21" s="19" t="s">
        <v>14</v>
      </c>
      <c r="D21" s="22">
        <f>'Costos Pradera'!D21</f>
        <v>6074.4320000000016</v>
      </c>
      <c r="E21" s="23">
        <v>3</v>
      </c>
      <c r="F21" s="22">
        <f>C$7</f>
        <v>98</v>
      </c>
      <c r="G21" s="21">
        <f>D21*E21/F21</f>
        <v>185.95200000000006</v>
      </c>
      <c r="H21" s="22">
        <f>G21*F21</f>
        <v>18223.296000000006</v>
      </c>
      <c r="I21" s="215"/>
      <c r="J21" s="107" t="s">
        <v>155</v>
      </c>
    </row>
    <row r="22" spans="2:34">
      <c r="B22" s="19" t="s">
        <v>16</v>
      </c>
      <c r="C22" s="19" t="s">
        <v>21</v>
      </c>
      <c r="D22" s="109">
        <f>'Costos Pradera'!D22</f>
        <v>200.65499999999997</v>
      </c>
      <c r="E22" s="25">
        <v>30</v>
      </c>
      <c r="F22" s="22">
        <f>C$7</f>
        <v>98</v>
      </c>
      <c r="G22" s="22">
        <f>D22*E22/F22</f>
        <v>61.424999999999997</v>
      </c>
      <c r="H22" s="110">
        <f>G22*F22</f>
        <v>6019.65</v>
      </c>
      <c r="I22" s="215">
        <f>H22/$H$64</f>
        <v>5.0732071331679125E-2</v>
      </c>
      <c r="J22" s="107"/>
    </row>
    <row r="23" spans="2:34" ht="14.5" thickBot="1">
      <c r="B23" s="43" t="s">
        <v>47</v>
      </c>
      <c r="C23" s="43"/>
      <c r="D23" s="43"/>
      <c r="E23" s="43"/>
      <c r="F23" s="43"/>
      <c r="G23" s="45">
        <f>G20+G22</f>
        <v>113.46581632653061</v>
      </c>
      <c r="H23" s="45">
        <f>H20+H22</f>
        <v>11119.65</v>
      </c>
      <c r="I23" s="216">
        <f>H23/$H$64</f>
        <v>9.3713567563447342E-2</v>
      </c>
    </row>
    <row r="24" spans="2:34" ht="14.5" thickTop="1">
      <c r="G24" s="18"/>
      <c r="H24" s="231"/>
    </row>
    <row r="25" spans="2:34">
      <c r="G25" s="18"/>
      <c r="H25" s="231"/>
    </row>
    <row r="26" spans="2:34">
      <c r="B26" s="40" t="s">
        <v>73</v>
      </c>
      <c r="H26" s="11"/>
      <c r="K26" s="112">
        <v>7</v>
      </c>
      <c r="L26" s="112">
        <v>8</v>
      </c>
      <c r="M26" s="112">
        <v>9</v>
      </c>
      <c r="N26" s="112">
        <v>10</v>
      </c>
      <c r="O26" s="112">
        <v>11</v>
      </c>
      <c r="P26" s="112">
        <v>12</v>
      </c>
      <c r="Q26" s="112">
        <v>13</v>
      </c>
      <c r="R26" s="112">
        <v>14</v>
      </c>
      <c r="S26" s="112">
        <v>15</v>
      </c>
      <c r="T26" s="112">
        <v>16</v>
      </c>
      <c r="U26" s="112">
        <v>17</v>
      </c>
      <c r="V26" s="112">
        <v>18</v>
      </c>
      <c r="W26" s="112">
        <v>19</v>
      </c>
      <c r="X26" s="112">
        <v>20</v>
      </c>
      <c r="Y26" s="112">
        <v>21</v>
      </c>
      <c r="Z26" s="112">
        <v>22</v>
      </c>
      <c r="AA26" s="112">
        <v>23</v>
      </c>
      <c r="AB26" s="112">
        <v>24</v>
      </c>
    </row>
    <row r="27" spans="2:34">
      <c r="K27" s="281">
        <v>2024</v>
      </c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>
        <v>2025</v>
      </c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</row>
    <row r="28" spans="2:34">
      <c r="B28" s="41" t="s">
        <v>71</v>
      </c>
      <c r="C28" s="41" t="s">
        <v>13</v>
      </c>
      <c r="D28" s="41" t="s">
        <v>40</v>
      </c>
      <c r="E28" s="41" t="s">
        <v>66</v>
      </c>
      <c r="F28" s="42" t="s">
        <v>49</v>
      </c>
      <c r="G28" s="41" t="s">
        <v>67</v>
      </c>
      <c r="H28" s="41" t="s">
        <v>15</v>
      </c>
      <c r="I28" s="41" t="s">
        <v>154</v>
      </c>
      <c r="K28" s="42" t="s">
        <v>107</v>
      </c>
      <c r="L28" s="42" t="s">
        <v>108</v>
      </c>
      <c r="M28" s="42" t="s">
        <v>109</v>
      </c>
      <c r="N28" s="42" t="s">
        <v>110</v>
      </c>
      <c r="O28" s="42" t="s">
        <v>111</v>
      </c>
      <c r="P28" s="42" t="s">
        <v>112</v>
      </c>
      <c r="Q28" s="42" t="s">
        <v>113</v>
      </c>
      <c r="R28" s="42" t="s">
        <v>114</v>
      </c>
      <c r="S28" s="42" t="s">
        <v>115</v>
      </c>
      <c r="T28" s="42" t="s">
        <v>116</v>
      </c>
      <c r="U28" s="42" t="s">
        <v>117</v>
      </c>
      <c r="V28" s="42" t="s">
        <v>118</v>
      </c>
      <c r="W28" s="42" t="s">
        <v>119</v>
      </c>
      <c r="X28" s="42" t="s">
        <v>108</v>
      </c>
      <c r="Y28" s="42" t="s">
        <v>109</v>
      </c>
      <c r="Z28" s="42" t="s">
        <v>110</v>
      </c>
      <c r="AA28" s="42" t="s">
        <v>111</v>
      </c>
      <c r="AB28" s="42" t="s">
        <v>112</v>
      </c>
      <c r="AC28" s="42" t="s">
        <v>113</v>
      </c>
      <c r="AD28" s="42" t="s">
        <v>114</v>
      </c>
      <c r="AE28" s="42" t="s">
        <v>115</v>
      </c>
      <c r="AF28" s="42" t="s">
        <v>116</v>
      </c>
      <c r="AG28" s="42" t="s">
        <v>117</v>
      </c>
      <c r="AH28" s="42" t="s">
        <v>118</v>
      </c>
    </row>
    <row r="29" spans="2:34">
      <c r="B29" s="19" t="s">
        <v>22</v>
      </c>
      <c r="C29" s="19" t="s">
        <v>3</v>
      </c>
      <c r="D29" s="28">
        <f>(16/24)*C7</f>
        <v>65.333333333333329</v>
      </c>
      <c r="E29" s="21">
        <v>3.5</v>
      </c>
      <c r="F29" s="22">
        <f t="shared" ref="F29:F38" si="0">C$7</f>
        <v>98</v>
      </c>
      <c r="G29" s="21">
        <f>D29*E29/F29</f>
        <v>2.333333333333333</v>
      </c>
      <c r="H29" s="22">
        <f t="shared" ref="H29:H38" si="1">G29*F29</f>
        <v>228.66666666666663</v>
      </c>
      <c r="I29" s="222">
        <f>H29/$H$64</f>
        <v>1.9271442101302608E-3</v>
      </c>
      <c r="S29" s="113"/>
    </row>
    <row r="30" spans="2:34">
      <c r="B30" s="29" t="s">
        <v>23</v>
      </c>
      <c r="C30" s="29" t="s">
        <v>3</v>
      </c>
      <c r="D30" s="30">
        <f>4*C7</f>
        <v>392</v>
      </c>
      <c r="E30" s="31">
        <v>2</v>
      </c>
      <c r="F30" s="22">
        <f t="shared" si="0"/>
        <v>98</v>
      </c>
      <c r="G30" s="21">
        <f t="shared" ref="G30:G38" si="2">D30*E30/F30</f>
        <v>8</v>
      </c>
      <c r="H30" s="22">
        <f t="shared" si="1"/>
        <v>784</v>
      </c>
      <c r="I30" s="222">
        <f t="shared" ref="I30" si="3">H30/$H$64</f>
        <v>6.6073515775894676E-3</v>
      </c>
      <c r="R30" s="113"/>
      <c r="T30" s="114" t="s">
        <v>122</v>
      </c>
      <c r="U30" s="114" t="s">
        <v>122</v>
      </c>
      <c r="V30" s="114" t="s">
        <v>122</v>
      </c>
      <c r="W30" s="114" t="s">
        <v>122</v>
      </c>
      <c r="X30" s="114" t="s">
        <v>122</v>
      </c>
    </row>
    <row r="31" spans="2:34">
      <c r="B31" s="29" t="s">
        <v>24</v>
      </c>
      <c r="C31" s="29" t="s">
        <v>3</v>
      </c>
      <c r="D31" s="32">
        <f>(20/24)*C7</f>
        <v>81.666666666666671</v>
      </c>
      <c r="E31" s="31">
        <v>3.6</v>
      </c>
      <c r="F31" s="22">
        <f t="shared" si="0"/>
        <v>98</v>
      </c>
      <c r="G31" s="21">
        <f t="shared" si="2"/>
        <v>3</v>
      </c>
      <c r="H31" s="22">
        <f t="shared" si="1"/>
        <v>294</v>
      </c>
      <c r="I31" s="222">
        <f>H31/$H$64</f>
        <v>2.47775684159605E-3</v>
      </c>
      <c r="Y31" s="113"/>
    </row>
    <row r="32" spans="2:34">
      <c r="B32" s="19" t="s">
        <v>7</v>
      </c>
      <c r="C32" s="19" t="s">
        <v>3</v>
      </c>
      <c r="D32" s="20">
        <f>4*C7</f>
        <v>392</v>
      </c>
      <c r="E32" s="21">
        <v>1.6</v>
      </c>
      <c r="F32" s="22">
        <f t="shared" si="0"/>
        <v>98</v>
      </c>
      <c r="G32" s="21">
        <f t="shared" si="2"/>
        <v>6.4</v>
      </c>
      <c r="H32" s="22">
        <f t="shared" si="1"/>
        <v>627.20000000000005</v>
      </c>
      <c r="I32" s="222">
        <f t="shared" ref="I32:I38" si="4">H32/$H$64</f>
        <v>5.2858812620715737E-3</v>
      </c>
    </row>
    <row r="33" spans="2:11">
      <c r="B33" s="19" t="s">
        <v>8</v>
      </c>
      <c r="C33" s="19" t="s">
        <v>4</v>
      </c>
      <c r="D33" s="20">
        <f>2*C7</f>
        <v>196</v>
      </c>
      <c r="E33" s="21">
        <v>1</v>
      </c>
      <c r="F33" s="22">
        <f t="shared" si="0"/>
        <v>98</v>
      </c>
      <c r="G33" s="21">
        <f t="shared" si="2"/>
        <v>2</v>
      </c>
      <c r="H33" s="22">
        <f t="shared" si="1"/>
        <v>196</v>
      </c>
      <c r="I33" s="222">
        <f t="shared" si="4"/>
        <v>1.6518378943973669E-3</v>
      </c>
    </row>
    <row r="34" spans="2:11">
      <c r="B34" s="19" t="s">
        <v>9</v>
      </c>
      <c r="C34" s="19" t="s">
        <v>5</v>
      </c>
      <c r="D34" s="20">
        <f>1*C7</f>
        <v>98</v>
      </c>
      <c r="E34" s="21">
        <v>10</v>
      </c>
      <c r="F34" s="22">
        <f t="shared" si="0"/>
        <v>98</v>
      </c>
      <c r="G34" s="21">
        <f t="shared" si="2"/>
        <v>10</v>
      </c>
      <c r="H34" s="22">
        <f t="shared" si="1"/>
        <v>980</v>
      </c>
      <c r="I34" s="222">
        <f t="shared" si="4"/>
        <v>8.2591894719868334E-3</v>
      </c>
      <c r="K34" s="115"/>
    </row>
    <row r="35" spans="2:11">
      <c r="B35" s="33" t="s">
        <v>29</v>
      </c>
      <c r="C35" s="33" t="s">
        <v>13</v>
      </c>
      <c r="D35" s="24">
        <f>1*C7</f>
        <v>98</v>
      </c>
      <c r="E35" s="23">
        <v>2</v>
      </c>
      <c r="F35" s="22">
        <f t="shared" si="0"/>
        <v>98</v>
      </c>
      <c r="G35" s="21">
        <f t="shared" si="2"/>
        <v>2</v>
      </c>
      <c r="H35" s="22">
        <f t="shared" si="1"/>
        <v>196</v>
      </c>
      <c r="I35" s="222">
        <f t="shared" si="4"/>
        <v>1.6518378943973669E-3</v>
      </c>
    </row>
    <row r="36" spans="2:11">
      <c r="B36" s="19" t="s">
        <v>25</v>
      </c>
      <c r="C36" s="19" t="s">
        <v>4</v>
      </c>
      <c r="D36" s="20">
        <f>1*C7</f>
        <v>98</v>
      </c>
      <c r="E36" s="21">
        <f>(45/24)</f>
        <v>1.875</v>
      </c>
      <c r="F36" s="22">
        <f t="shared" si="0"/>
        <v>98</v>
      </c>
      <c r="G36" s="21">
        <f t="shared" si="2"/>
        <v>1.875</v>
      </c>
      <c r="H36" s="22">
        <f t="shared" si="1"/>
        <v>183.75</v>
      </c>
      <c r="I36" s="222">
        <f t="shared" si="4"/>
        <v>1.5485980259975314E-3</v>
      </c>
    </row>
    <row r="37" spans="2:11">
      <c r="B37" s="19" t="s">
        <v>26</v>
      </c>
      <c r="C37" s="19" t="s">
        <v>3</v>
      </c>
      <c r="D37" s="20">
        <f>2*C7</f>
        <v>196</v>
      </c>
      <c r="E37" s="21">
        <f>(5/6)</f>
        <v>0.83333333333333337</v>
      </c>
      <c r="F37" s="22">
        <f t="shared" si="0"/>
        <v>98</v>
      </c>
      <c r="G37" s="21">
        <f t="shared" si="2"/>
        <v>1.6666666666666667</v>
      </c>
      <c r="H37" s="22">
        <f t="shared" si="1"/>
        <v>163.33333333333334</v>
      </c>
      <c r="I37" s="222">
        <f t="shared" si="4"/>
        <v>1.3765315786644723E-3</v>
      </c>
    </row>
    <row r="38" spans="2:11">
      <c r="B38" s="19" t="s">
        <v>27</v>
      </c>
      <c r="C38" s="19" t="s">
        <v>3</v>
      </c>
      <c r="D38" s="20">
        <f>2*C7</f>
        <v>196</v>
      </c>
      <c r="E38" s="21">
        <v>2</v>
      </c>
      <c r="F38" s="22">
        <f t="shared" si="0"/>
        <v>98</v>
      </c>
      <c r="G38" s="21">
        <f t="shared" si="2"/>
        <v>4</v>
      </c>
      <c r="H38" s="22">
        <f t="shared" si="1"/>
        <v>392</v>
      </c>
      <c r="I38" s="222">
        <f t="shared" si="4"/>
        <v>3.3036757887947338E-3</v>
      </c>
      <c r="K38" s="108"/>
    </row>
    <row r="39" spans="2:11" ht="14.5" thickBot="1">
      <c r="B39" s="43" t="s">
        <v>47</v>
      </c>
      <c r="C39" s="43"/>
      <c r="D39" s="43"/>
      <c r="E39" s="43"/>
      <c r="F39" s="43"/>
      <c r="G39" s="44">
        <f>SUM(G29:G38)</f>
        <v>41.274999999999999</v>
      </c>
      <c r="H39" s="44">
        <f>SUM(H29:H38)</f>
        <v>4044.9500000000003</v>
      </c>
      <c r="I39" s="216">
        <f>H39/$H$64</f>
        <v>3.4089804545625657E-2</v>
      </c>
      <c r="K39" s="106"/>
    </row>
    <row r="40" spans="2:11" ht="14.5" thickTop="1">
      <c r="E40" s="27"/>
      <c r="F40" s="27"/>
      <c r="K40" s="106"/>
    </row>
    <row r="41" spans="2:11">
      <c r="E41" s="27"/>
      <c r="F41" s="27"/>
      <c r="G41" s="18"/>
      <c r="H41" s="231"/>
      <c r="K41" s="106"/>
    </row>
    <row r="42" spans="2:11">
      <c r="B42" s="40" t="s">
        <v>74</v>
      </c>
      <c r="H42" s="11"/>
      <c r="K42" s="106"/>
    </row>
    <row r="43" spans="2:11">
      <c r="K43" s="106"/>
    </row>
    <row r="44" spans="2:11">
      <c r="B44" s="41" t="s">
        <v>65</v>
      </c>
      <c r="C44" s="41" t="s">
        <v>13</v>
      </c>
      <c r="D44" s="41" t="s">
        <v>40</v>
      </c>
      <c r="E44" s="41" t="s">
        <v>66</v>
      </c>
      <c r="F44" s="42" t="s">
        <v>49</v>
      </c>
      <c r="G44" s="41" t="s">
        <v>67</v>
      </c>
      <c r="H44" s="41" t="s">
        <v>15</v>
      </c>
      <c r="I44" s="41" t="s">
        <v>154</v>
      </c>
      <c r="K44" s="106"/>
    </row>
    <row r="45" spans="2:11" ht="14.5">
      <c r="B45" s="26" t="s">
        <v>50</v>
      </c>
      <c r="C45" s="26" t="s">
        <v>62</v>
      </c>
      <c r="D45" s="101">
        <f>C$7</f>
        <v>98</v>
      </c>
      <c r="E45" s="101">
        <v>15</v>
      </c>
      <c r="F45" s="116">
        <f>C$7</f>
        <v>98</v>
      </c>
      <c r="G45" s="25">
        <f>D45*E45/F45</f>
        <v>15</v>
      </c>
      <c r="H45" s="116">
        <f>G45*F45</f>
        <v>1470</v>
      </c>
      <c r="I45" s="215">
        <f>H45/$H$64</f>
        <v>1.2388784207980251E-2</v>
      </c>
      <c r="K45"/>
    </row>
    <row r="46" spans="2:11" ht="14.5">
      <c r="B46" s="26" t="s">
        <v>10</v>
      </c>
      <c r="C46" s="26" t="s">
        <v>62</v>
      </c>
      <c r="D46" s="101">
        <f t="shared" ref="D46" si="5">C$7</f>
        <v>98</v>
      </c>
      <c r="E46" s="101">
        <v>20</v>
      </c>
      <c r="F46" s="116">
        <f t="shared" ref="F46" si="6">C$7</f>
        <v>98</v>
      </c>
      <c r="G46" s="25">
        <f t="shared" ref="G46" si="7">D46*E46/F46</f>
        <v>20</v>
      </c>
      <c r="H46" s="116">
        <f>G46*F46</f>
        <v>1960</v>
      </c>
      <c r="I46" s="215">
        <f>H46/$H$64</f>
        <v>1.6518378943973667E-2</v>
      </c>
      <c r="K46"/>
    </row>
    <row r="47" spans="2:11" ht="14.5">
      <c r="B47" s="33"/>
      <c r="C47" s="33"/>
      <c r="D47" s="24"/>
      <c r="E47" s="24"/>
      <c r="F47" s="117"/>
      <c r="G47" s="23"/>
      <c r="H47" s="117"/>
      <c r="I47" s="215">
        <f>H47/$H$64</f>
        <v>0</v>
      </c>
      <c r="K47"/>
    </row>
    <row r="48" spans="2:11" ht="15" thickBot="1">
      <c r="B48" s="43" t="s">
        <v>47</v>
      </c>
      <c r="C48" s="43"/>
      <c r="D48" s="43"/>
      <c r="E48" s="43"/>
      <c r="F48" s="43"/>
      <c r="G48" s="44">
        <f>SUM(G45:G47)</f>
        <v>35</v>
      </c>
      <c r="H48" s="44">
        <f>SUM(H45:H46)</f>
        <v>3430</v>
      </c>
      <c r="I48" s="216">
        <f>H48/$H$64</f>
        <v>2.8907163151953918E-2</v>
      </c>
      <c r="K48"/>
    </row>
    <row r="49" spans="2:9" ht="14.5" thickTop="1"/>
    <row r="50" spans="2:9">
      <c r="G50" s="18"/>
      <c r="H50" s="231"/>
    </row>
    <row r="51" spans="2:9" ht="14.5" thickBot="1">
      <c r="B51" s="56" t="s">
        <v>92</v>
      </c>
      <c r="C51" s="57"/>
      <c r="D51" s="58"/>
      <c r="E51" s="58"/>
      <c r="F51" s="58"/>
      <c r="G51" s="59">
        <f>G14+G23+G39+G48</f>
        <v>639.74081632653053</v>
      </c>
      <c r="H51" s="59">
        <f>H14+H23+H39+H48</f>
        <v>63594.6</v>
      </c>
      <c r="I51" s="217">
        <f>H51/$H$64</f>
        <v>0.53595903142368762</v>
      </c>
    </row>
    <row r="52" spans="2:9" ht="14.5" thickTop="1"/>
    <row r="53" spans="2:9">
      <c r="G53" s="18"/>
      <c r="H53" s="231"/>
    </row>
    <row r="54" spans="2:9">
      <c r="B54" s="40" t="s">
        <v>138</v>
      </c>
    </row>
    <row r="55" spans="2:9">
      <c r="B55" s="223" t="s">
        <v>141</v>
      </c>
      <c r="C55" s="41" t="s">
        <v>13</v>
      </c>
      <c r="D55" s="226" t="s">
        <v>40</v>
      </c>
      <c r="E55" s="41" t="s">
        <v>66</v>
      </c>
      <c r="F55" s="227" t="s">
        <v>49</v>
      </c>
      <c r="G55" s="41" t="s">
        <v>67</v>
      </c>
      <c r="H55" s="224" t="s">
        <v>15</v>
      </c>
      <c r="I55" s="41" t="s">
        <v>154</v>
      </c>
    </row>
    <row r="56" spans="2:9">
      <c r="B56" s="19" t="s">
        <v>82</v>
      </c>
      <c r="C56" s="19" t="s">
        <v>18</v>
      </c>
      <c r="D56" s="20">
        <v>17</v>
      </c>
      <c r="E56" s="20">
        <v>1200</v>
      </c>
      <c r="F56" s="20">
        <f t="shared" ref="F56:F58" si="8">C$7</f>
        <v>98</v>
      </c>
      <c r="G56" s="20">
        <f t="shared" ref="G56" si="9">D56*E56/F56</f>
        <v>208.16326530612244</v>
      </c>
      <c r="H56" s="228">
        <f>G56*F56</f>
        <v>20400</v>
      </c>
      <c r="I56" s="229">
        <f>H56/$H$64</f>
        <v>0.17192598492707287</v>
      </c>
    </row>
    <row r="57" spans="2:9">
      <c r="B57" s="19" t="s">
        <v>90</v>
      </c>
      <c r="C57" s="19" t="s">
        <v>18</v>
      </c>
      <c r="D57" s="20">
        <v>17</v>
      </c>
      <c r="E57" s="20">
        <v>200</v>
      </c>
      <c r="F57" s="20">
        <f t="shared" si="8"/>
        <v>98</v>
      </c>
      <c r="G57" s="20">
        <f>D57*E57/F57</f>
        <v>34.693877551020407</v>
      </c>
      <c r="H57" s="228">
        <f>G57*F57</f>
        <v>3400</v>
      </c>
      <c r="I57" s="229">
        <f>H57/$H$64</f>
        <v>2.8654330821178811E-2</v>
      </c>
    </row>
    <row r="58" spans="2:9">
      <c r="B58" s="19" t="s">
        <v>76</v>
      </c>
      <c r="C58" s="19" t="s">
        <v>18</v>
      </c>
      <c r="D58" s="20">
        <v>17</v>
      </c>
      <c r="E58" s="22">
        <f>Inversiones!$J$15</f>
        <v>1838.8888888888889</v>
      </c>
      <c r="F58" s="20">
        <f t="shared" si="8"/>
        <v>98</v>
      </c>
      <c r="G58" s="230">
        <f>D58*E58/F58</f>
        <v>318.99092970521542</v>
      </c>
      <c r="H58" s="228">
        <f>G58*F58</f>
        <v>31261.111111111109</v>
      </c>
      <c r="I58" s="229">
        <f>H58/$H$64</f>
        <v>0.26346065282806075</v>
      </c>
    </row>
    <row r="59" spans="2:9" ht="14.5" thickBot="1">
      <c r="B59" s="43" t="s">
        <v>139</v>
      </c>
      <c r="C59" s="43"/>
      <c r="D59" s="43"/>
      <c r="E59" s="43"/>
      <c r="F59" s="43"/>
      <c r="G59" s="45">
        <f>SUM(G56:G58)</f>
        <v>561.84807256235831</v>
      </c>
      <c r="H59" s="148">
        <f>SUM(H56:H58)</f>
        <v>55061.111111111109</v>
      </c>
      <c r="I59" s="216">
        <f>H59/$H$64</f>
        <v>0.46404096857631238</v>
      </c>
    </row>
    <row r="60" spans="2:9" ht="14.5" thickTop="1"/>
    <row r="64" spans="2:9" ht="14.5" thickBot="1">
      <c r="B64" s="151" t="s">
        <v>102</v>
      </c>
      <c r="C64" s="151"/>
      <c r="D64" s="151"/>
      <c r="E64" s="151"/>
      <c r="F64" s="151"/>
      <c r="G64" s="221">
        <f>G51+G59</f>
        <v>1201.588888888889</v>
      </c>
      <c r="H64" s="152">
        <f>H51+H59</f>
        <v>118655.7111111111</v>
      </c>
      <c r="I64" s="218">
        <f>H64/$H$64</f>
        <v>1</v>
      </c>
    </row>
    <row r="65" spans="2:8" ht="14.5" thickTop="1"/>
    <row r="67" spans="2:8">
      <c r="B67" s="11"/>
      <c r="E67" s="11" t="s">
        <v>152</v>
      </c>
      <c r="G67" s="220">
        <f>H64/$C$7</f>
        <v>1210.7725623582764</v>
      </c>
      <c r="H67" s="202"/>
    </row>
  </sheetData>
  <mergeCells count="6">
    <mergeCell ref="B4:G4"/>
    <mergeCell ref="K11:V11"/>
    <mergeCell ref="W11:AH11"/>
    <mergeCell ref="AI11:AT11"/>
    <mergeCell ref="K27:V27"/>
    <mergeCell ref="W27:AH27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B849-6AD8-4E29-AD6C-47426CE0D731}">
  <sheetPr>
    <tabColor rgb="FFFF0000"/>
  </sheetPr>
  <dimension ref="A4:AT67"/>
  <sheetViews>
    <sheetView showGridLines="0" topLeftCell="A47" zoomScale="115" zoomScaleNormal="115" workbookViewId="0">
      <selection activeCell="H73" sqref="H73"/>
    </sheetView>
  </sheetViews>
  <sheetFormatPr defaultColWidth="10.81640625" defaultRowHeight="14"/>
  <cols>
    <col min="1" max="1" width="3.453125" style="9" customWidth="1"/>
    <col min="2" max="2" width="49" style="9" customWidth="1"/>
    <col min="3" max="3" width="15" style="9" customWidth="1"/>
    <col min="4" max="4" width="11.81640625" style="10" customWidth="1"/>
    <col min="5" max="6" width="15" style="10" customWidth="1"/>
    <col min="7" max="7" width="17.54296875" style="10" customWidth="1"/>
    <col min="8" max="8" width="21.453125" style="9" customWidth="1"/>
    <col min="9" max="9" width="11.26953125" style="10" customWidth="1"/>
    <col min="10" max="10" width="29.453125" style="10" customWidth="1"/>
    <col min="11" max="11" width="13.1796875" style="9" customWidth="1"/>
    <col min="12" max="12" width="13.1796875" style="107" customWidth="1"/>
    <col min="13" max="40" width="13.1796875" style="10" customWidth="1"/>
    <col min="41" max="42" width="10.81640625" style="9"/>
    <col min="43" max="46" width="11.7265625" style="9" customWidth="1"/>
    <col min="47" max="16384" width="10.81640625" style="9"/>
  </cols>
  <sheetData>
    <row r="4" spans="1:46" ht="23">
      <c r="B4" s="273" t="s">
        <v>63</v>
      </c>
      <c r="C4" s="273"/>
      <c r="D4" s="273"/>
      <c r="E4" s="273"/>
      <c r="F4" s="273"/>
      <c r="G4" s="273"/>
    </row>
    <row r="5" spans="1:46">
      <c r="A5" s="11"/>
    </row>
    <row r="6" spans="1:46">
      <c r="A6" s="11"/>
      <c r="B6" s="7" t="s">
        <v>52</v>
      </c>
      <c r="C6" s="39" t="s">
        <v>49</v>
      </c>
    </row>
    <row r="7" spans="1:46">
      <c r="A7" s="11"/>
      <c r="B7" s="7" t="s">
        <v>64</v>
      </c>
      <c r="C7" s="39">
        <f>Supuestos!$V$16*(1-Supuestos!$I$5)</f>
        <v>98</v>
      </c>
    </row>
    <row r="8" spans="1:46">
      <c r="A8" s="11"/>
    </row>
    <row r="9" spans="1:46">
      <c r="A9" s="11"/>
    </row>
    <row r="10" spans="1:46">
      <c r="A10" s="11"/>
      <c r="B10" s="40" t="s">
        <v>68</v>
      </c>
      <c r="K10" s="112">
        <v>7</v>
      </c>
      <c r="L10" s="112">
        <v>8</v>
      </c>
      <c r="M10" s="112">
        <v>9</v>
      </c>
      <c r="N10" s="112">
        <v>10</v>
      </c>
      <c r="O10" s="112">
        <v>11</v>
      </c>
      <c r="P10" s="112">
        <v>12</v>
      </c>
      <c r="Q10" s="112">
        <v>13</v>
      </c>
      <c r="R10" s="112">
        <v>14</v>
      </c>
      <c r="S10" s="112">
        <v>15</v>
      </c>
      <c r="T10" s="112">
        <v>16</v>
      </c>
      <c r="U10" s="112">
        <v>17</v>
      </c>
      <c r="V10" s="112">
        <v>18</v>
      </c>
      <c r="W10" s="112">
        <v>19</v>
      </c>
      <c r="X10" s="112">
        <v>20</v>
      </c>
      <c r="Y10" s="112">
        <v>21</v>
      </c>
      <c r="Z10" s="112">
        <v>22</v>
      </c>
      <c r="AA10" s="112">
        <v>23</v>
      </c>
      <c r="AB10" s="112">
        <v>24</v>
      </c>
    </row>
    <row r="11" spans="1:46">
      <c r="E11" s="12"/>
      <c r="F11" s="12"/>
      <c r="G11" s="12"/>
      <c r="K11" s="281">
        <v>2024</v>
      </c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>
        <v>2025</v>
      </c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>
        <v>2026</v>
      </c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</row>
    <row r="12" spans="1:46">
      <c r="B12" s="41" t="s">
        <v>70</v>
      </c>
      <c r="C12" s="41" t="s">
        <v>13</v>
      </c>
      <c r="D12" s="41" t="s">
        <v>40</v>
      </c>
      <c r="E12" s="41" t="s">
        <v>66</v>
      </c>
      <c r="F12" s="42" t="s">
        <v>49</v>
      </c>
      <c r="G12" s="41" t="s">
        <v>67</v>
      </c>
      <c r="H12" s="41" t="s">
        <v>15</v>
      </c>
      <c r="I12" s="41" t="s">
        <v>154</v>
      </c>
      <c r="K12" s="62" t="s">
        <v>107</v>
      </c>
      <c r="L12" s="41" t="s">
        <v>108</v>
      </c>
      <c r="M12" s="42" t="s">
        <v>109</v>
      </c>
      <c r="N12" s="42" t="s">
        <v>110</v>
      </c>
      <c r="O12" s="42" t="s">
        <v>111</v>
      </c>
      <c r="P12" s="42" t="s">
        <v>112</v>
      </c>
      <c r="Q12" s="111" t="s">
        <v>113</v>
      </c>
      <c r="R12" s="111" t="s">
        <v>114</v>
      </c>
      <c r="S12" s="111" t="s">
        <v>115</v>
      </c>
      <c r="T12" s="111" t="s">
        <v>116</v>
      </c>
      <c r="U12" s="111" t="s">
        <v>117</v>
      </c>
      <c r="V12" s="42" t="s">
        <v>118</v>
      </c>
      <c r="W12" s="42" t="s">
        <v>119</v>
      </c>
      <c r="X12" s="42" t="s">
        <v>108</v>
      </c>
      <c r="Y12" s="42" t="s">
        <v>109</v>
      </c>
      <c r="Z12" s="42" t="s">
        <v>110</v>
      </c>
      <c r="AA12" s="42" t="s">
        <v>111</v>
      </c>
      <c r="AB12" s="42" t="s">
        <v>112</v>
      </c>
      <c r="AC12" s="42" t="s">
        <v>113</v>
      </c>
      <c r="AD12" s="42" t="s">
        <v>114</v>
      </c>
      <c r="AE12" s="42" t="s">
        <v>115</v>
      </c>
      <c r="AF12" s="42" t="s">
        <v>116</v>
      </c>
      <c r="AG12" s="42" t="s">
        <v>117</v>
      </c>
      <c r="AH12" s="42" t="s">
        <v>118</v>
      </c>
      <c r="AI12" s="42" t="s">
        <v>119</v>
      </c>
      <c r="AJ12" s="42" t="s">
        <v>108</v>
      </c>
      <c r="AK12" s="42" t="s">
        <v>109</v>
      </c>
      <c r="AL12" s="42" t="s">
        <v>110</v>
      </c>
      <c r="AM12" s="42" t="s">
        <v>111</v>
      </c>
      <c r="AN12" s="42" t="s">
        <v>112</v>
      </c>
      <c r="AO12" s="42" t="s">
        <v>113</v>
      </c>
      <c r="AP12" s="42" t="s">
        <v>114</v>
      </c>
      <c r="AQ12" s="42" t="s">
        <v>115</v>
      </c>
      <c r="AR12" s="42" t="s">
        <v>116</v>
      </c>
      <c r="AS12" s="42" t="s">
        <v>117</v>
      </c>
      <c r="AT12" s="42" t="s">
        <v>118</v>
      </c>
    </row>
    <row r="13" spans="1:46">
      <c r="B13" s="105" t="s">
        <v>69</v>
      </c>
      <c r="C13" s="13" t="s">
        <v>62</v>
      </c>
      <c r="D13" s="14">
        <f>Supuestos!$V$16</f>
        <v>100</v>
      </c>
      <c r="E13" s="15">
        <f>(45*10)</f>
        <v>450</v>
      </c>
      <c r="F13" s="16">
        <f>D13</f>
        <v>100</v>
      </c>
      <c r="G13" s="15">
        <f>D13*E13/F13</f>
        <v>450</v>
      </c>
      <c r="H13" s="16">
        <f>G13*F13</f>
        <v>45000</v>
      </c>
      <c r="I13" s="215">
        <f>H13/$H$64</f>
        <v>0.34388064402449298</v>
      </c>
    </row>
    <row r="14" spans="1:46" ht="18.649999999999999" customHeight="1" thickBot="1">
      <c r="B14" s="43" t="s">
        <v>47</v>
      </c>
      <c r="C14" s="43"/>
      <c r="D14" s="43"/>
      <c r="E14" s="43"/>
      <c r="F14" s="43"/>
      <c r="G14" s="44">
        <f>G13</f>
        <v>450</v>
      </c>
      <c r="H14" s="45">
        <f>H13</f>
        <v>45000</v>
      </c>
      <c r="I14" s="216">
        <f>H14/$H$64</f>
        <v>0.34388064402449298</v>
      </c>
    </row>
    <row r="15" spans="1:46" ht="18.649999999999999" customHeight="1" thickTop="1">
      <c r="B15" s="17"/>
      <c r="E15" s="12"/>
      <c r="F15" s="18"/>
      <c r="G15" s="18"/>
      <c r="H15" s="18"/>
    </row>
    <row r="16" spans="1:46" ht="18.649999999999999" customHeight="1">
      <c r="B16" s="17"/>
      <c r="E16" s="12"/>
      <c r="F16" s="18"/>
      <c r="G16" s="18"/>
      <c r="H16" s="18"/>
    </row>
    <row r="17" spans="2:34">
      <c r="B17" s="40" t="s">
        <v>72</v>
      </c>
      <c r="E17" s="12"/>
      <c r="F17" s="12"/>
      <c r="G17" s="12"/>
    </row>
    <row r="18" spans="2:34">
      <c r="E18" s="12"/>
      <c r="F18" s="12"/>
      <c r="G18" s="12"/>
    </row>
    <row r="19" spans="2:34">
      <c r="B19" s="41" t="s">
        <v>71</v>
      </c>
      <c r="C19" s="41" t="s">
        <v>13</v>
      </c>
      <c r="D19" s="41" t="s">
        <v>40</v>
      </c>
      <c r="E19" s="41" t="s">
        <v>66</v>
      </c>
      <c r="F19" s="42" t="s">
        <v>49</v>
      </c>
      <c r="G19" s="41" t="s">
        <v>67</v>
      </c>
      <c r="H19" s="41" t="s">
        <v>15</v>
      </c>
      <c r="I19" s="41" t="s">
        <v>154</v>
      </c>
    </row>
    <row r="20" spans="2:34">
      <c r="B20" s="19" t="s">
        <v>1</v>
      </c>
      <c r="C20" s="19" t="s">
        <v>19</v>
      </c>
      <c r="D20" s="20">
        <v>17</v>
      </c>
      <c r="E20" s="21">
        <v>300</v>
      </c>
      <c r="F20" s="22">
        <f>C$7</f>
        <v>98</v>
      </c>
      <c r="G20" s="21">
        <f>D20*E20/F20</f>
        <v>52.04081632653061</v>
      </c>
      <c r="H20" s="110">
        <f>G20*F20</f>
        <v>5100</v>
      </c>
      <c r="I20" s="215">
        <f>H20/$H$64</f>
        <v>3.8973139656109199E-2</v>
      </c>
    </row>
    <row r="21" spans="2:34">
      <c r="B21" s="19" t="s">
        <v>121</v>
      </c>
      <c r="C21" s="19" t="s">
        <v>14</v>
      </c>
      <c r="D21" s="117">
        <f>'Costos Pradera'!D21</f>
        <v>6074.4320000000016</v>
      </c>
      <c r="E21" s="23">
        <v>3</v>
      </c>
      <c r="F21" s="22">
        <f>C$7</f>
        <v>98</v>
      </c>
      <c r="G21" s="21">
        <f>D21*E21/F21</f>
        <v>185.95200000000006</v>
      </c>
      <c r="H21" s="110">
        <f>G21*F21</f>
        <v>18223.296000000006</v>
      </c>
      <c r="I21" s="215">
        <f>H21/$H$64</f>
        <v>0.1392586392161993</v>
      </c>
    </row>
    <row r="22" spans="2:34">
      <c r="B22" s="19" t="s">
        <v>16</v>
      </c>
      <c r="C22" s="19" t="s">
        <v>21</v>
      </c>
      <c r="D22" s="109">
        <f>'Costos Pradera'!D22</f>
        <v>200.65499999999997</v>
      </c>
      <c r="E22" s="25">
        <v>30</v>
      </c>
      <c r="F22" s="22">
        <f>C$7</f>
        <v>98</v>
      </c>
      <c r="G22" s="22">
        <f>D22*E22/F22</f>
        <v>61.424999999999997</v>
      </c>
      <c r="H22" s="22">
        <f>G22*F22</f>
        <v>6019.65</v>
      </c>
      <c r="I22" s="215"/>
      <c r="J22" s="107" t="s">
        <v>155</v>
      </c>
    </row>
    <row r="23" spans="2:34" ht="14.5" thickBot="1">
      <c r="B23" s="43" t="s">
        <v>47</v>
      </c>
      <c r="C23" s="43"/>
      <c r="D23" s="43"/>
      <c r="E23" s="43"/>
      <c r="F23" s="43"/>
      <c r="G23" s="45">
        <f>G20+G21</f>
        <v>237.99281632653066</v>
      </c>
      <c r="H23" s="45">
        <f>H20+H21</f>
        <v>23323.296000000006</v>
      </c>
      <c r="I23" s="216">
        <f>H23/$H$64</f>
        <v>0.17823177887230851</v>
      </c>
    </row>
    <row r="24" spans="2:34" ht="14.5" thickTop="1">
      <c r="G24" s="18"/>
      <c r="H24" s="231"/>
    </row>
    <row r="25" spans="2:34">
      <c r="G25" s="18"/>
      <c r="H25" s="231"/>
    </row>
    <row r="26" spans="2:34">
      <c r="B26" s="40" t="s">
        <v>73</v>
      </c>
      <c r="H26" s="11"/>
      <c r="K26" s="112">
        <v>7</v>
      </c>
      <c r="L26" s="112">
        <v>8</v>
      </c>
      <c r="M26" s="112">
        <v>9</v>
      </c>
      <c r="N26" s="112">
        <v>10</v>
      </c>
      <c r="O26" s="112">
        <v>11</v>
      </c>
      <c r="P26" s="112">
        <v>12</v>
      </c>
      <c r="Q26" s="112">
        <v>13</v>
      </c>
      <c r="R26" s="112">
        <v>14</v>
      </c>
      <c r="S26" s="112">
        <v>15</v>
      </c>
      <c r="T26" s="112">
        <v>16</v>
      </c>
      <c r="U26" s="112">
        <v>17</v>
      </c>
      <c r="V26" s="112">
        <v>18</v>
      </c>
      <c r="W26" s="112">
        <v>19</v>
      </c>
      <c r="X26" s="112">
        <v>20</v>
      </c>
      <c r="Y26" s="112">
        <v>21</v>
      </c>
      <c r="Z26" s="112">
        <v>22</v>
      </c>
      <c r="AA26" s="112">
        <v>23</v>
      </c>
      <c r="AB26" s="112">
        <v>24</v>
      </c>
    </row>
    <row r="27" spans="2:34">
      <c r="K27" s="281">
        <v>2024</v>
      </c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>
        <v>2025</v>
      </c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</row>
    <row r="28" spans="2:34">
      <c r="B28" s="41" t="s">
        <v>71</v>
      </c>
      <c r="C28" s="41" t="s">
        <v>13</v>
      </c>
      <c r="D28" s="41" t="s">
        <v>40</v>
      </c>
      <c r="E28" s="41" t="s">
        <v>66</v>
      </c>
      <c r="F28" s="42" t="s">
        <v>49</v>
      </c>
      <c r="G28" s="41" t="s">
        <v>67</v>
      </c>
      <c r="H28" s="41" t="s">
        <v>15</v>
      </c>
      <c r="I28" s="41" t="s">
        <v>154</v>
      </c>
      <c r="K28" s="42" t="s">
        <v>107</v>
      </c>
      <c r="L28" s="42" t="s">
        <v>108</v>
      </c>
      <c r="M28" s="42" t="s">
        <v>109</v>
      </c>
      <c r="N28" s="42" t="s">
        <v>110</v>
      </c>
      <c r="O28" s="42" t="s">
        <v>111</v>
      </c>
      <c r="P28" s="42" t="s">
        <v>112</v>
      </c>
      <c r="Q28" s="42" t="s">
        <v>113</v>
      </c>
      <c r="R28" s="42" t="s">
        <v>114</v>
      </c>
      <c r="S28" s="42" t="s">
        <v>115</v>
      </c>
      <c r="T28" s="42" t="s">
        <v>116</v>
      </c>
      <c r="U28" s="42" t="s">
        <v>117</v>
      </c>
      <c r="V28" s="42" t="s">
        <v>118</v>
      </c>
      <c r="W28" s="42" t="s">
        <v>119</v>
      </c>
      <c r="X28" s="42" t="s">
        <v>108</v>
      </c>
      <c r="Y28" s="42" t="s">
        <v>109</v>
      </c>
      <c r="Z28" s="42" t="s">
        <v>110</v>
      </c>
      <c r="AA28" s="42" t="s">
        <v>111</v>
      </c>
      <c r="AB28" s="42" t="s">
        <v>112</v>
      </c>
      <c r="AC28" s="42" t="s">
        <v>113</v>
      </c>
      <c r="AD28" s="42" t="s">
        <v>114</v>
      </c>
      <c r="AE28" s="42" t="s">
        <v>115</v>
      </c>
      <c r="AF28" s="42" t="s">
        <v>116</v>
      </c>
      <c r="AG28" s="42" t="s">
        <v>117</v>
      </c>
      <c r="AH28" s="42" t="s">
        <v>118</v>
      </c>
    </row>
    <row r="29" spans="2:34">
      <c r="B29" s="19" t="s">
        <v>22</v>
      </c>
      <c r="C29" s="19" t="s">
        <v>3</v>
      </c>
      <c r="D29" s="28">
        <f>(16/24)*C7</f>
        <v>65.333333333333329</v>
      </c>
      <c r="E29" s="21">
        <v>3.5</v>
      </c>
      <c r="F29" s="22">
        <f t="shared" ref="F29:F38" si="0">C$7</f>
        <v>98</v>
      </c>
      <c r="G29" s="21">
        <f t="shared" ref="G29:G38" si="1">D29*E29/F29</f>
        <v>2.333333333333333</v>
      </c>
      <c r="H29" s="22">
        <f t="shared" ref="H29:H38" si="2">G29*F29</f>
        <v>228.66666666666663</v>
      </c>
      <c r="I29" s="222">
        <f>H29/$H$64</f>
        <v>1.7474231244503861E-3</v>
      </c>
      <c r="S29" s="113"/>
    </row>
    <row r="30" spans="2:34">
      <c r="B30" s="29" t="s">
        <v>23</v>
      </c>
      <c r="C30" s="29" t="s">
        <v>3</v>
      </c>
      <c r="D30" s="30">
        <f>4*C7</f>
        <v>392</v>
      </c>
      <c r="E30" s="31">
        <v>2</v>
      </c>
      <c r="F30" s="22">
        <f t="shared" si="0"/>
        <v>98</v>
      </c>
      <c r="G30" s="21">
        <f t="shared" si="1"/>
        <v>8</v>
      </c>
      <c r="H30" s="22">
        <f t="shared" si="2"/>
        <v>784</v>
      </c>
      <c r="I30" s="222">
        <f t="shared" ref="I30" si="3">H30/$H$64</f>
        <v>5.9911649981156103E-3</v>
      </c>
      <c r="R30" s="113"/>
      <c r="T30" s="114" t="s">
        <v>122</v>
      </c>
      <c r="U30" s="114" t="s">
        <v>122</v>
      </c>
      <c r="V30" s="114" t="s">
        <v>122</v>
      </c>
      <c r="W30" s="114" t="s">
        <v>122</v>
      </c>
      <c r="X30" s="114" t="s">
        <v>122</v>
      </c>
    </row>
    <row r="31" spans="2:34">
      <c r="B31" s="29" t="s">
        <v>24</v>
      </c>
      <c r="C31" s="29" t="s">
        <v>3</v>
      </c>
      <c r="D31" s="32">
        <f>(20/24)*C7</f>
        <v>81.666666666666671</v>
      </c>
      <c r="E31" s="31">
        <v>3.6</v>
      </c>
      <c r="F31" s="22">
        <f t="shared" si="0"/>
        <v>98</v>
      </c>
      <c r="G31" s="21">
        <f t="shared" si="1"/>
        <v>3</v>
      </c>
      <c r="H31" s="22">
        <f t="shared" si="2"/>
        <v>294</v>
      </c>
      <c r="I31" s="222">
        <f>H31/$H$64</f>
        <v>2.2466868742933538E-3</v>
      </c>
      <c r="Y31" s="113"/>
    </row>
    <row r="32" spans="2:34">
      <c r="B32" s="19" t="s">
        <v>7</v>
      </c>
      <c r="C32" s="19" t="s">
        <v>3</v>
      </c>
      <c r="D32" s="20">
        <f>4*C7</f>
        <v>392</v>
      </c>
      <c r="E32" s="21">
        <v>1.6</v>
      </c>
      <c r="F32" s="22">
        <f t="shared" si="0"/>
        <v>98</v>
      </c>
      <c r="G32" s="21">
        <f t="shared" si="1"/>
        <v>6.4</v>
      </c>
      <c r="H32" s="22">
        <f t="shared" si="2"/>
        <v>627.20000000000005</v>
      </c>
      <c r="I32" s="222">
        <f t="shared" ref="I32:I38" si="4">H32/$H$64</f>
        <v>4.7929319984924886E-3</v>
      </c>
    </row>
    <row r="33" spans="2:11">
      <c r="B33" s="19" t="s">
        <v>8</v>
      </c>
      <c r="C33" s="19" t="s">
        <v>4</v>
      </c>
      <c r="D33" s="20">
        <f>2*C7</f>
        <v>196</v>
      </c>
      <c r="E33" s="21">
        <v>1</v>
      </c>
      <c r="F33" s="22">
        <f t="shared" si="0"/>
        <v>98</v>
      </c>
      <c r="G33" s="21">
        <f t="shared" si="1"/>
        <v>2</v>
      </c>
      <c r="H33" s="22">
        <f t="shared" si="2"/>
        <v>196</v>
      </c>
      <c r="I33" s="222">
        <f t="shared" si="4"/>
        <v>1.4977912495289026E-3</v>
      </c>
    </row>
    <row r="34" spans="2:11">
      <c r="B34" s="19" t="s">
        <v>9</v>
      </c>
      <c r="C34" s="19" t="s">
        <v>5</v>
      </c>
      <c r="D34" s="20">
        <f>1*C7</f>
        <v>98</v>
      </c>
      <c r="E34" s="21">
        <v>10</v>
      </c>
      <c r="F34" s="22">
        <f t="shared" si="0"/>
        <v>98</v>
      </c>
      <c r="G34" s="21">
        <f t="shared" si="1"/>
        <v>10</v>
      </c>
      <c r="H34" s="22">
        <f t="shared" si="2"/>
        <v>980</v>
      </c>
      <c r="I34" s="222">
        <f t="shared" si="4"/>
        <v>7.4889562476445131E-3</v>
      </c>
      <c r="K34" s="115"/>
    </row>
    <row r="35" spans="2:11">
      <c r="B35" s="33" t="s">
        <v>29</v>
      </c>
      <c r="C35" s="33" t="s">
        <v>13</v>
      </c>
      <c r="D35" s="24">
        <f>1*C7</f>
        <v>98</v>
      </c>
      <c r="E35" s="23">
        <v>2</v>
      </c>
      <c r="F35" s="22">
        <f t="shared" si="0"/>
        <v>98</v>
      </c>
      <c r="G35" s="21">
        <f t="shared" si="1"/>
        <v>2</v>
      </c>
      <c r="H35" s="22">
        <f t="shared" si="2"/>
        <v>196</v>
      </c>
      <c r="I35" s="222">
        <f t="shared" si="4"/>
        <v>1.4977912495289026E-3</v>
      </c>
    </row>
    <row r="36" spans="2:11">
      <c r="B36" s="19" t="s">
        <v>25</v>
      </c>
      <c r="C36" s="19" t="s">
        <v>4</v>
      </c>
      <c r="D36" s="20">
        <f>1*C7</f>
        <v>98</v>
      </c>
      <c r="E36" s="21">
        <f>(45/24)</f>
        <v>1.875</v>
      </c>
      <c r="F36" s="22">
        <f t="shared" si="0"/>
        <v>98</v>
      </c>
      <c r="G36" s="21">
        <f t="shared" si="1"/>
        <v>1.875</v>
      </c>
      <c r="H36" s="22">
        <f t="shared" si="2"/>
        <v>183.75</v>
      </c>
      <c r="I36" s="222">
        <f t="shared" si="4"/>
        <v>1.4041792964333462E-3</v>
      </c>
    </row>
    <row r="37" spans="2:11">
      <c r="B37" s="19" t="s">
        <v>26</v>
      </c>
      <c r="C37" s="19" t="s">
        <v>3</v>
      </c>
      <c r="D37" s="20">
        <f>2*C7</f>
        <v>196</v>
      </c>
      <c r="E37" s="21">
        <f>(5/6)</f>
        <v>0.83333333333333337</v>
      </c>
      <c r="F37" s="22">
        <f t="shared" si="0"/>
        <v>98</v>
      </c>
      <c r="G37" s="21">
        <f t="shared" si="1"/>
        <v>1.6666666666666667</v>
      </c>
      <c r="H37" s="22">
        <f t="shared" si="2"/>
        <v>163.33333333333334</v>
      </c>
      <c r="I37" s="222">
        <f t="shared" si="4"/>
        <v>1.2481593746074189E-3</v>
      </c>
    </row>
    <row r="38" spans="2:11">
      <c r="B38" s="19" t="s">
        <v>27</v>
      </c>
      <c r="C38" s="19" t="s">
        <v>3</v>
      </c>
      <c r="D38" s="20">
        <f>2*C7</f>
        <v>196</v>
      </c>
      <c r="E38" s="21">
        <v>2</v>
      </c>
      <c r="F38" s="22">
        <f t="shared" si="0"/>
        <v>98</v>
      </c>
      <c r="G38" s="21">
        <f t="shared" si="1"/>
        <v>4</v>
      </c>
      <c r="H38" s="22">
        <f t="shared" si="2"/>
        <v>392</v>
      </c>
      <c r="I38" s="222">
        <f t="shared" si="4"/>
        <v>2.9955824990578052E-3</v>
      </c>
      <c r="K38" s="108"/>
    </row>
    <row r="39" spans="2:11" ht="14.5" thickBot="1">
      <c r="B39" s="43" t="s">
        <v>47</v>
      </c>
      <c r="C39" s="43"/>
      <c r="D39" s="43"/>
      <c r="E39" s="43"/>
      <c r="F39" s="43"/>
      <c r="G39" s="44">
        <f>SUM(G29:G38)</f>
        <v>41.274999999999999</v>
      </c>
      <c r="H39" s="44">
        <f>SUM(H29:H38)</f>
        <v>4044.9500000000003</v>
      </c>
      <c r="I39" s="216">
        <f>H39/$H$64</f>
        <v>3.0910666912152732E-2</v>
      </c>
      <c r="K39" s="106"/>
    </row>
    <row r="40" spans="2:11" ht="14.5" thickTop="1">
      <c r="E40" s="27"/>
      <c r="F40" s="27"/>
      <c r="K40" s="106"/>
    </row>
    <row r="41" spans="2:11">
      <c r="E41" s="27"/>
      <c r="F41" s="27"/>
      <c r="G41" s="18"/>
      <c r="H41" s="231"/>
      <c r="K41" s="106"/>
    </row>
    <row r="42" spans="2:11">
      <c r="B42" s="40" t="s">
        <v>74</v>
      </c>
      <c r="H42" s="11"/>
      <c r="K42" s="106"/>
    </row>
    <row r="43" spans="2:11">
      <c r="K43" s="106"/>
    </row>
    <row r="44" spans="2:11">
      <c r="B44" s="41" t="s">
        <v>65</v>
      </c>
      <c r="C44" s="41" t="s">
        <v>13</v>
      </c>
      <c r="D44" s="41" t="s">
        <v>40</v>
      </c>
      <c r="E44" s="41" t="s">
        <v>66</v>
      </c>
      <c r="F44" s="42" t="s">
        <v>49</v>
      </c>
      <c r="G44" s="41" t="s">
        <v>67</v>
      </c>
      <c r="H44" s="41" t="s">
        <v>15</v>
      </c>
      <c r="I44" s="41" t="s">
        <v>154</v>
      </c>
      <c r="K44" s="106"/>
    </row>
    <row r="45" spans="2:11" ht="14.5">
      <c r="B45" s="26" t="s">
        <v>50</v>
      </c>
      <c r="C45" s="26" t="s">
        <v>62</v>
      </c>
      <c r="D45" s="101">
        <f>C$7</f>
        <v>98</v>
      </c>
      <c r="E45" s="101">
        <v>15</v>
      </c>
      <c r="F45" s="116">
        <f>C$7</f>
        <v>98</v>
      </c>
      <c r="G45" s="25">
        <f>D45*E45/F45</f>
        <v>15</v>
      </c>
      <c r="H45" s="116">
        <f>G45*F45</f>
        <v>1470</v>
      </c>
      <c r="I45" s="215">
        <f>H45/$H$64</f>
        <v>1.1233434371466769E-2</v>
      </c>
      <c r="K45"/>
    </row>
    <row r="46" spans="2:11" ht="14.5">
      <c r="B46" s="26" t="s">
        <v>10</v>
      </c>
      <c r="C46" s="26" t="s">
        <v>62</v>
      </c>
      <c r="D46" s="101">
        <f t="shared" ref="D46" si="5">C$7</f>
        <v>98</v>
      </c>
      <c r="E46" s="101">
        <v>20</v>
      </c>
      <c r="F46" s="116">
        <f t="shared" ref="F46" si="6">C$7</f>
        <v>98</v>
      </c>
      <c r="G46" s="25">
        <f t="shared" ref="G46" si="7">D46*E46/F46</f>
        <v>20</v>
      </c>
      <c r="H46" s="116">
        <f>G46*F46</f>
        <v>1960</v>
      </c>
      <c r="I46" s="215">
        <f>H46/$H$64</f>
        <v>1.4977912495289026E-2</v>
      </c>
      <c r="K46"/>
    </row>
    <row r="47" spans="2:11" ht="14.5">
      <c r="B47" s="33"/>
      <c r="C47" s="33"/>
      <c r="D47" s="24"/>
      <c r="E47" s="24"/>
      <c r="F47" s="117"/>
      <c r="G47" s="23"/>
      <c r="H47" s="117"/>
      <c r="I47" s="215">
        <f>H47/$H$64</f>
        <v>0</v>
      </c>
      <c r="K47"/>
    </row>
    <row r="48" spans="2:11" ht="15" thickBot="1">
      <c r="B48" s="43" t="s">
        <v>47</v>
      </c>
      <c r="C48" s="43"/>
      <c r="D48" s="43"/>
      <c r="E48" s="43"/>
      <c r="F48" s="43"/>
      <c r="G48" s="44">
        <f>SUM(G45:G47)</f>
        <v>35</v>
      </c>
      <c r="H48" s="44">
        <f>SUM(H45:H46)</f>
        <v>3430</v>
      </c>
      <c r="I48" s="216">
        <f>H48/$H$64</f>
        <v>2.6211346866755796E-2</v>
      </c>
      <c r="K48"/>
    </row>
    <row r="49" spans="2:9" ht="14.5" thickTop="1"/>
    <row r="50" spans="2:9">
      <c r="G50" s="18"/>
      <c r="H50" s="231"/>
    </row>
    <row r="51" spans="2:9" ht="14.5" thickBot="1">
      <c r="B51" s="56" t="s">
        <v>92</v>
      </c>
      <c r="C51" s="57"/>
      <c r="D51" s="58"/>
      <c r="E51" s="58"/>
      <c r="F51" s="58"/>
      <c r="G51" s="219">
        <f>G14+G23+G39+G48</f>
        <v>764.26781632653058</v>
      </c>
      <c r="H51" s="219">
        <f>H14+H23+H39+H48</f>
        <v>75798.245999999999</v>
      </c>
      <c r="I51" s="217">
        <f>H51/$H$64</f>
        <v>0.57923443667570995</v>
      </c>
    </row>
    <row r="52" spans="2:9" ht="14.5" thickTop="1"/>
    <row r="53" spans="2:9">
      <c r="G53" s="18"/>
      <c r="H53" s="231"/>
    </row>
    <row r="54" spans="2:9">
      <c r="B54" s="40" t="s">
        <v>138</v>
      </c>
    </row>
    <row r="55" spans="2:9">
      <c r="B55" s="41" t="s">
        <v>141</v>
      </c>
      <c r="C55" s="41" t="s">
        <v>13</v>
      </c>
      <c r="D55" s="226" t="s">
        <v>40</v>
      </c>
      <c r="E55" s="41" t="s">
        <v>66</v>
      </c>
      <c r="F55" s="227" t="s">
        <v>49</v>
      </c>
      <c r="G55" s="41" t="s">
        <v>67</v>
      </c>
      <c r="H55" s="224" t="s">
        <v>15</v>
      </c>
      <c r="I55" s="41" t="s">
        <v>154</v>
      </c>
    </row>
    <row r="56" spans="2:9">
      <c r="B56" s="9" t="s">
        <v>82</v>
      </c>
      <c r="C56" s="19" t="s">
        <v>18</v>
      </c>
      <c r="D56" s="20">
        <v>17</v>
      </c>
      <c r="E56" s="20">
        <v>1200</v>
      </c>
      <c r="F56" s="20">
        <f t="shared" ref="F56:F58" si="8">C$7</f>
        <v>98</v>
      </c>
      <c r="G56" s="20">
        <f t="shared" ref="G56" si="9">D56*E56/F56</f>
        <v>208.16326530612244</v>
      </c>
      <c r="H56" s="228">
        <f>G56*F56</f>
        <v>20400</v>
      </c>
      <c r="I56" s="229">
        <f>H56/$H$64</f>
        <v>0.15589255862443679</v>
      </c>
    </row>
    <row r="57" spans="2:9">
      <c r="B57" s="9" t="s">
        <v>90</v>
      </c>
      <c r="C57" s="19" t="s">
        <v>18</v>
      </c>
      <c r="D57" s="20">
        <v>17</v>
      </c>
      <c r="E57" s="20">
        <v>200</v>
      </c>
      <c r="F57" s="20">
        <f t="shared" si="8"/>
        <v>98</v>
      </c>
      <c r="G57" s="20">
        <f>D57*E57/F57</f>
        <v>34.693877551020407</v>
      </c>
      <c r="H57" s="228">
        <f>G57*F57</f>
        <v>3400</v>
      </c>
      <c r="I57" s="229">
        <f>H57/$H$64</f>
        <v>2.59820931040728E-2</v>
      </c>
    </row>
    <row r="58" spans="2:9">
      <c r="B58" s="9" t="s">
        <v>76</v>
      </c>
      <c r="C58" s="19" t="s">
        <v>18</v>
      </c>
      <c r="D58" s="20">
        <v>17</v>
      </c>
      <c r="E58" s="22">
        <f>Inversiones!$J$15</f>
        <v>1838.8888888888889</v>
      </c>
      <c r="F58" s="20">
        <f t="shared" si="8"/>
        <v>98</v>
      </c>
      <c r="G58" s="230">
        <f>D58*E58/F58</f>
        <v>318.99092970521542</v>
      </c>
      <c r="H58" s="228">
        <f>G58*F58</f>
        <v>31261.111111111109</v>
      </c>
      <c r="I58" s="229">
        <f>H58/$H$64</f>
        <v>0.23889091159578046</v>
      </c>
    </row>
    <row r="59" spans="2:9" ht="14.5" thickBot="1">
      <c r="B59" s="43" t="s">
        <v>139</v>
      </c>
      <c r="C59" s="43"/>
      <c r="D59" s="43"/>
      <c r="E59" s="43"/>
      <c r="F59" s="43"/>
      <c r="G59" s="45">
        <f>SUM(G56:G58)</f>
        <v>561.84807256235831</v>
      </c>
      <c r="H59" s="213">
        <f>SUM(H56:H58)</f>
        <v>55061.111111111109</v>
      </c>
      <c r="I59" s="216">
        <f>H59/$H$64</f>
        <v>0.42076556332429005</v>
      </c>
    </row>
    <row r="60" spans="2:9" ht="14.5" thickTop="1"/>
    <row r="61" spans="2:9">
      <c r="G61" s="18"/>
      <c r="H61" s="231"/>
    </row>
    <row r="64" spans="2:9" ht="14.5" thickBot="1">
      <c r="B64" s="151" t="s">
        <v>102</v>
      </c>
      <c r="C64" s="151"/>
      <c r="D64" s="151"/>
      <c r="E64" s="151"/>
      <c r="F64" s="151"/>
      <c r="G64" s="221">
        <f>G51+G59</f>
        <v>1326.115888888889</v>
      </c>
      <c r="H64" s="152">
        <f>H51+H59</f>
        <v>130859.35711111111</v>
      </c>
      <c r="I64" s="218">
        <f>H64/$H$64</f>
        <v>1</v>
      </c>
    </row>
    <row r="65" spans="2:8" ht="14.5" thickTop="1"/>
    <row r="67" spans="2:8">
      <c r="B67" s="11"/>
      <c r="E67" s="11" t="s">
        <v>152</v>
      </c>
      <c r="G67" s="220">
        <f>H64/$C$7</f>
        <v>1335.2995623582767</v>
      </c>
      <c r="H67" s="202"/>
    </row>
  </sheetData>
  <mergeCells count="6">
    <mergeCell ref="B4:G4"/>
    <mergeCell ref="K11:V11"/>
    <mergeCell ref="W11:AH11"/>
    <mergeCell ref="AI11:AT11"/>
    <mergeCell ref="K27:V27"/>
    <mergeCell ref="W27:AH27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6A4C-55D3-41D7-9C73-16F788126451}">
  <sheetPr>
    <tabColor rgb="FF7030A0"/>
  </sheetPr>
  <dimension ref="B2:E36"/>
  <sheetViews>
    <sheetView showGridLines="0" topLeftCell="A9" zoomScaleNormal="100" workbookViewId="0">
      <selection activeCell="K34" sqref="K34"/>
    </sheetView>
  </sheetViews>
  <sheetFormatPr defaultColWidth="8.7265625" defaultRowHeight="15.5"/>
  <cols>
    <col min="1" max="1" width="3.54296875" style="34" customWidth="1"/>
    <col min="2" max="2" width="23.1796875" style="34" customWidth="1"/>
    <col min="3" max="4" width="14.81640625" style="60" customWidth="1"/>
    <col min="5" max="5" width="14.81640625" style="34" customWidth="1"/>
    <col min="6" max="16384" width="8.7265625" style="34"/>
  </cols>
  <sheetData>
    <row r="2" spans="2:5" ht="18">
      <c r="B2" s="283" t="s">
        <v>135</v>
      </c>
      <c r="C2" s="283"/>
      <c r="D2" s="283"/>
      <c r="E2" s="283"/>
    </row>
    <row r="4" spans="2:5">
      <c r="B4" s="64" t="s">
        <v>99</v>
      </c>
    </row>
    <row r="6" spans="2:5">
      <c r="B6" s="41" t="s">
        <v>36</v>
      </c>
      <c r="C6" s="41" t="s">
        <v>46</v>
      </c>
      <c r="D6" s="41" t="s">
        <v>101</v>
      </c>
      <c r="E6" s="41" t="s">
        <v>14</v>
      </c>
    </row>
    <row r="7" spans="2:5">
      <c r="B7" s="63" t="s">
        <v>93</v>
      </c>
      <c r="C7" s="70">
        <f>C8+C11</f>
        <v>132088.32000000001</v>
      </c>
      <c r="D7" s="70">
        <f>SUM(D8+D11)</f>
        <v>1347.84</v>
      </c>
      <c r="E7" s="145">
        <f>SUM(E8+E11)</f>
        <v>28.8</v>
      </c>
    </row>
    <row r="8" spans="2:5">
      <c r="B8" s="36" t="s">
        <v>32</v>
      </c>
      <c r="C8" s="69">
        <f>C9*C10</f>
        <v>96314.4</v>
      </c>
      <c r="D8" s="69">
        <f>D9*D10</f>
        <v>982.8</v>
      </c>
      <c r="E8" s="69">
        <f>E10/SUM(E10,E13)*E9</f>
        <v>21</v>
      </c>
    </row>
    <row r="9" spans="2:5">
      <c r="B9" s="34" t="s">
        <v>94</v>
      </c>
      <c r="C9" s="68">
        <f>Supuestos!$Y$15</f>
        <v>30</v>
      </c>
      <c r="D9" s="68">
        <f>Supuestos!$Y$15</f>
        <v>30</v>
      </c>
      <c r="E9" s="68">
        <f>Supuestos!$Y$15</f>
        <v>30</v>
      </c>
    </row>
    <row r="10" spans="2:5">
      <c r="B10" s="34" t="s">
        <v>95</v>
      </c>
      <c r="C10" s="68">
        <f>Supuestos!$O$17</f>
        <v>3210.48</v>
      </c>
      <c r="D10" s="68">
        <f>Supuestos!$H$19</f>
        <v>32.76</v>
      </c>
      <c r="E10" s="66">
        <f>1*70%</f>
        <v>0.7</v>
      </c>
    </row>
    <row r="11" spans="2:5">
      <c r="B11" s="11" t="s">
        <v>33</v>
      </c>
      <c r="C11" s="71">
        <f>C12*C13</f>
        <v>35773.919999999998</v>
      </c>
      <c r="D11" s="71">
        <f>D12*D13</f>
        <v>365.04</v>
      </c>
      <c r="E11" s="71">
        <f>E13/SUM(E10,E13)*E12</f>
        <v>7.8</v>
      </c>
    </row>
    <row r="12" spans="2:5">
      <c r="B12" s="34" t="s">
        <v>94</v>
      </c>
      <c r="C12" s="68">
        <f>Supuestos!$Y$16</f>
        <v>26</v>
      </c>
      <c r="D12" s="68">
        <f>Supuestos!$Y$16</f>
        <v>26</v>
      </c>
      <c r="E12" s="68">
        <f>Supuestos!$Y$16</f>
        <v>26</v>
      </c>
    </row>
    <row r="13" spans="2:5">
      <c r="B13" s="34" t="s">
        <v>95</v>
      </c>
      <c r="C13" s="68">
        <f>Supuestos!$O$18</f>
        <v>1375.92</v>
      </c>
      <c r="D13" s="68">
        <f>Supuestos!$H$20</f>
        <v>14.040000000000001</v>
      </c>
      <c r="E13" s="66">
        <f>1*30%</f>
        <v>0.3</v>
      </c>
    </row>
    <row r="17" spans="2:5">
      <c r="B17" s="61" t="s">
        <v>100</v>
      </c>
    </row>
    <row r="19" spans="2:5">
      <c r="B19" s="41" t="s">
        <v>36</v>
      </c>
      <c r="C19" s="226" t="s">
        <v>46</v>
      </c>
      <c r="D19" s="41" t="s">
        <v>101</v>
      </c>
      <c r="E19" s="41" t="s">
        <v>14</v>
      </c>
    </row>
    <row r="20" spans="2:5">
      <c r="B20" s="246" t="s">
        <v>98</v>
      </c>
      <c r="C20" s="68">
        <f>'Costos Pradera'!H51</f>
        <v>57574.95</v>
      </c>
      <c r="D20" s="254">
        <f>C20/'Costos Pradera'!$C$7</f>
        <v>587.49948979591829</v>
      </c>
      <c r="E20" s="247">
        <f>D20/Supuestos!$H$18</f>
        <v>12.553407901622185</v>
      </c>
    </row>
    <row r="21" spans="2:5">
      <c r="B21" s="37" t="s">
        <v>75</v>
      </c>
      <c r="C21" s="68">
        <f>'Costos Pradera'!H59</f>
        <v>85661.111111111109</v>
      </c>
      <c r="D21" s="255">
        <f>C21/'Costos Pradera'!$C$7</f>
        <v>874.09297052154193</v>
      </c>
      <c r="E21" s="248">
        <f>D21/Supuestos!$H$18</f>
        <v>18.67720022481927</v>
      </c>
    </row>
    <row r="22" spans="2:5" ht="16" thickBot="1">
      <c r="B22" s="73" t="s">
        <v>102</v>
      </c>
      <c r="C22" s="209">
        <f>SUM(C20:C21)</f>
        <v>143236.06111111111</v>
      </c>
      <c r="D22" s="209">
        <f>SUM(D20:D21)</f>
        <v>1461.5924603174603</v>
      </c>
      <c r="E22" s="74">
        <f>SUM(E20:E21)</f>
        <v>31.230608126441453</v>
      </c>
    </row>
    <row r="23" spans="2:5" ht="16" thickTop="1">
      <c r="B23" s="36"/>
      <c r="C23" s="67"/>
      <c r="D23" s="67"/>
      <c r="E23" s="67"/>
    </row>
    <row r="26" spans="2:5" ht="16.5" customHeight="1">
      <c r="B26" s="65" t="s">
        <v>103</v>
      </c>
      <c r="C26" s="66"/>
      <c r="D26" s="66"/>
      <c r="E26" s="66"/>
    </row>
    <row r="27" spans="2:5" ht="16.5" customHeight="1">
      <c r="B27" s="72"/>
      <c r="C27" s="66"/>
      <c r="D27" s="66"/>
      <c r="E27" s="66"/>
    </row>
    <row r="28" spans="2:5">
      <c r="B28" s="41" t="s">
        <v>36</v>
      </c>
      <c r="C28" s="226" t="s">
        <v>46</v>
      </c>
      <c r="D28" s="41" t="s">
        <v>101</v>
      </c>
      <c r="E28" s="41" t="s">
        <v>14</v>
      </c>
    </row>
    <row r="29" spans="2:5">
      <c r="B29" s="249" t="s">
        <v>93</v>
      </c>
      <c r="C29" s="70">
        <f>C7</f>
        <v>132088.32000000001</v>
      </c>
      <c r="D29" s="251">
        <f>D7</f>
        <v>1347.84</v>
      </c>
      <c r="E29" s="251">
        <f>E7</f>
        <v>28.8</v>
      </c>
    </row>
    <row r="30" spans="2:5">
      <c r="B30" s="250" t="s">
        <v>102</v>
      </c>
      <c r="C30" s="256">
        <f>C22</f>
        <v>143236.06111111111</v>
      </c>
      <c r="D30" s="257">
        <f>D22</f>
        <v>1461.5924603174603</v>
      </c>
      <c r="E30" s="252">
        <f>E22</f>
        <v>31.230608126441453</v>
      </c>
    </row>
    <row r="31" spans="2:5" ht="16" thickBot="1">
      <c r="B31" s="75" t="s">
        <v>104</v>
      </c>
      <c r="C31" s="210">
        <f>C29-C30</f>
        <v>-11147.7411111111</v>
      </c>
      <c r="D31" s="210">
        <f t="shared" ref="D31:E31" si="0">D29-D30</f>
        <v>-113.75246031746042</v>
      </c>
      <c r="E31" s="76">
        <f t="shared" si="0"/>
        <v>-2.4306081264414523</v>
      </c>
    </row>
    <row r="32" spans="2:5" ht="16" thickTop="1"/>
    <row r="33" spans="2:5" ht="16" thickBot="1">
      <c r="B33" s="253" t="s">
        <v>159</v>
      </c>
      <c r="C33" s="211">
        <f>C31/C30</f>
        <v>-7.7827755277796784E-2</v>
      </c>
      <c r="D33" s="211">
        <f>D31/D30</f>
        <v>-7.7827755277796923E-2</v>
      </c>
      <c r="E33" s="211">
        <f t="shared" ref="E33" si="1">E31/E30</f>
        <v>-7.7827755277796631E-2</v>
      </c>
    </row>
    <row r="34" spans="2:5" ht="16" thickTop="1"/>
    <row r="36" spans="2:5">
      <c r="C36" s="290"/>
    </row>
  </sheetData>
  <mergeCells count="1">
    <mergeCell ref="B2:E2"/>
  </mergeCells>
  <conditionalFormatting sqref="C31:E31">
    <cfRule type="cellIs" dxfId="15" priority="4" operator="lessThan">
      <formula>0</formula>
    </cfRule>
    <cfRule type="cellIs" dxfId="14" priority="5" operator="greaterThan">
      <formula>0</formula>
    </cfRule>
  </conditionalFormatting>
  <conditionalFormatting sqref="C33:E33">
    <cfRule type="cellIs" dxfId="13" priority="1" operator="lessThan">
      <formula>0%</formula>
    </cfRule>
    <cfRule type="cellIs" dxfId="12" priority="2" operator="greaterThan">
      <formula>0%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3146-4109-4C01-8C4E-86975F33FEA5}">
  <sheetPr>
    <tabColor rgb="FF7030A0"/>
  </sheetPr>
  <dimension ref="B2:E34"/>
  <sheetViews>
    <sheetView showGridLines="0" topLeftCell="A9" zoomScale="115" zoomScaleNormal="115" workbookViewId="0">
      <selection activeCell="I31" sqref="I31"/>
    </sheetView>
  </sheetViews>
  <sheetFormatPr defaultColWidth="8.7265625" defaultRowHeight="15.5"/>
  <cols>
    <col min="1" max="1" width="3.54296875" style="34" customWidth="1"/>
    <col min="2" max="2" width="23.1796875" style="34" customWidth="1"/>
    <col min="3" max="4" width="17.54296875" style="60" customWidth="1"/>
    <col min="5" max="5" width="17.54296875" style="34" customWidth="1"/>
    <col min="6" max="16384" width="8.7265625" style="34"/>
  </cols>
  <sheetData>
    <row r="2" spans="2:5" ht="18">
      <c r="B2" s="283" t="s">
        <v>136</v>
      </c>
      <c r="C2" s="283"/>
      <c r="D2" s="283"/>
      <c r="E2" s="283"/>
    </row>
    <row r="4" spans="2:5">
      <c r="B4" s="64" t="s">
        <v>99</v>
      </c>
    </row>
    <row r="6" spans="2:5">
      <c r="B6" s="41" t="s">
        <v>36</v>
      </c>
      <c r="C6" s="41" t="s">
        <v>46</v>
      </c>
      <c r="D6" s="41" t="s">
        <v>101</v>
      </c>
      <c r="E6" s="41" t="s">
        <v>14</v>
      </c>
    </row>
    <row r="7" spans="2:5">
      <c r="B7" s="63" t="s">
        <v>93</v>
      </c>
      <c r="C7" s="70">
        <f>C8+C11</f>
        <v>146764.79999999999</v>
      </c>
      <c r="D7" s="70">
        <f>SUM(D8+D11)</f>
        <v>1497.6</v>
      </c>
      <c r="E7" s="146">
        <f>SUM(E8+E11)</f>
        <v>28.8</v>
      </c>
    </row>
    <row r="8" spans="2:5">
      <c r="B8" s="36" t="s">
        <v>32</v>
      </c>
      <c r="C8" s="69">
        <f>C9*C10</f>
        <v>107016</v>
      </c>
      <c r="D8" s="69">
        <f>D9*D10</f>
        <v>1092</v>
      </c>
      <c r="E8" s="69">
        <f>E10/SUM(E10,E13)*E9</f>
        <v>21</v>
      </c>
    </row>
    <row r="9" spans="2:5">
      <c r="B9" s="34" t="s">
        <v>94</v>
      </c>
      <c r="C9" s="68">
        <f>Supuestos!$Y$26</f>
        <v>30</v>
      </c>
      <c r="D9" s="68">
        <f>Supuestos!$Y$26</f>
        <v>30</v>
      </c>
      <c r="E9" s="68">
        <f>Supuestos!$Y$26</f>
        <v>30</v>
      </c>
    </row>
    <row r="10" spans="2:5">
      <c r="B10" s="34" t="s">
        <v>95</v>
      </c>
      <c r="C10" s="68">
        <f>Supuestos!$O$28</f>
        <v>3567.2</v>
      </c>
      <c r="D10" s="68">
        <f>Supuestos!$H$30</f>
        <v>36.4</v>
      </c>
      <c r="E10" s="66">
        <f>1*70%</f>
        <v>0.7</v>
      </c>
    </row>
    <row r="11" spans="2:5">
      <c r="B11" s="11" t="s">
        <v>33</v>
      </c>
      <c r="C11" s="71">
        <f>C12*C13</f>
        <v>39748.799999999996</v>
      </c>
      <c r="D11" s="71">
        <f>D12*D13</f>
        <v>405.59999999999997</v>
      </c>
      <c r="E11" s="71">
        <f>E13/SUM(E10,E13)*E12</f>
        <v>7.8</v>
      </c>
    </row>
    <row r="12" spans="2:5">
      <c r="B12" s="34" t="s">
        <v>94</v>
      </c>
      <c r="C12" s="68">
        <f>Supuestos!$Y$27</f>
        <v>26</v>
      </c>
      <c r="D12" s="68">
        <f>Supuestos!$Y$27</f>
        <v>26</v>
      </c>
      <c r="E12" s="68">
        <f>Supuestos!$Y$27</f>
        <v>26</v>
      </c>
    </row>
    <row r="13" spans="2:5">
      <c r="B13" s="34" t="s">
        <v>95</v>
      </c>
      <c r="C13" s="68">
        <f>Supuestos!$O$29</f>
        <v>1528.8</v>
      </c>
      <c r="D13" s="68">
        <f>Supuestos!$H$31</f>
        <v>15.6</v>
      </c>
      <c r="E13" s="66">
        <f>1*30%</f>
        <v>0.3</v>
      </c>
    </row>
    <row r="17" spans="2:5">
      <c r="B17" s="61" t="s">
        <v>100</v>
      </c>
    </row>
    <row r="19" spans="2:5">
      <c r="B19" s="41" t="s">
        <v>36</v>
      </c>
      <c r="C19" s="226" t="s">
        <v>46</v>
      </c>
      <c r="D19" s="41" t="s">
        <v>101</v>
      </c>
      <c r="E19" s="41" t="s">
        <v>14</v>
      </c>
    </row>
    <row r="20" spans="2:5">
      <c r="B20" s="246" t="s">
        <v>98</v>
      </c>
      <c r="C20" s="68">
        <f>'Costos Pradera+Heno '!$H$51</f>
        <v>63594.6</v>
      </c>
      <c r="D20" s="254">
        <f>C20/'Costos Pradera+Heno '!$C$7</f>
        <v>648.92448979591836</v>
      </c>
      <c r="E20" s="247">
        <f>D20/Supuestos!$H$29</f>
        <v>12.479317111459968</v>
      </c>
    </row>
    <row r="21" spans="2:5">
      <c r="B21" s="37" t="s">
        <v>75</v>
      </c>
      <c r="C21" s="68">
        <f>'Gastos Operativos'!$E$13</f>
        <v>85661.111111111109</v>
      </c>
      <c r="D21" s="255">
        <f>C21/'Costos Pradera+Heno '!$C$7</f>
        <v>874.09297052154193</v>
      </c>
      <c r="E21" s="248">
        <f>D21/Supuestos!$H$29</f>
        <v>16.809480202337344</v>
      </c>
    </row>
    <row r="22" spans="2:5" ht="16" thickBot="1">
      <c r="B22" s="73" t="s">
        <v>102</v>
      </c>
      <c r="C22" s="74">
        <f>SUM(C20:C21)</f>
        <v>149255.7111111111</v>
      </c>
      <c r="D22" s="209">
        <f>SUM(D20:D21)</f>
        <v>1523.0174603174603</v>
      </c>
      <c r="E22" s="74">
        <f>SUM(E20:E21)</f>
        <v>29.288797313797311</v>
      </c>
    </row>
    <row r="23" spans="2:5" ht="16" thickTop="1">
      <c r="B23" s="36"/>
      <c r="C23" s="67"/>
      <c r="D23" s="67"/>
      <c r="E23" s="67"/>
    </row>
    <row r="26" spans="2:5" ht="16.5" customHeight="1">
      <c r="B26" s="65" t="s">
        <v>103</v>
      </c>
      <c r="C26" s="66"/>
      <c r="D26" s="66"/>
      <c r="E26" s="66"/>
    </row>
    <row r="27" spans="2:5" ht="16.5" customHeight="1">
      <c r="B27" s="72"/>
      <c r="C27" s="66"/>
      <c r="D27" s="66"/>
      <c r="E27" s="66"/>
    </row>
    <row r="28" spans="2:5">
      <c r="B28" s="41" t="s">
        <v>36</v>
      </c>
      <c r="C28" s="226" t="s">
        <v>46</v>
      </c>
      <c r="D28" s="41" t="s">
        <v>101</v>
      </c>
      <c r="E28" s="41" t="s">
        <v>14</v>
      </c>
    </row>
    <row r="29" spans="2:5">
      <c r="B29" s="249" t="s">
        <v>93</v>
      </c>
      <c r="C29" s="70">
        <f>C7</f>
        <v>146764.79999999999</v>
      </c>
      <c r="D29" s="251">
        <f>D7</f>
        <v>1497.6</v>
      </c>
      <c r="E29" s="251">
        <f>E7</f>
        <v>28.8</v>
      </c>
    </row>
    <row r="30" spans="2:5">
      <c r="B30" s="250" t="s">
        <v>102</v>
      </c>
      <c r="C30" s="256">
        <f>C22</f>
        <v>149255.7111111111</v>
      </c>
      <c r="D30" s="257">
        <f t="shared" ref="D30" si="0">D22</f>
        <v>1523.0174603174603</v>
      </c>
      <c r="E30" s="252">
        <f>E22</f>
        <v>29.288797313797311</v>
      </c>
    </row>
    <row r="31" spans="2:5" ht="16" thickBot="1">
      <c r="B31" s="75" t="s">
        <v>104</v>
      </c>
      <c r="C31" s="210">
        <f>C29-C30</f>
        <v>-2490.9111111111124</v>
      </c>
      <c r="D31" s="210">
        <f t="shared" ref="D31:E31" si="1">D29-D30</f>
        <v>-25.417460317460382</v>
      </c>
      <c r="E31" s="76">
        <f t="shared" si="1"/>
        <v>-0.48879731379730984</v>
      </c>
    </row>
    <row r="32" spans="2:5" ht="16" thickTop="1"/>
    <row r="33" spans="2:5" ht="16" thickBot="1">
      <c r="B33" s="253" t="s">
        <v>159</v>
      </c>
      <c r="C33" s="212">
        <f>C31/C30</f>
        <v>-1.6688883075682056E-2</v>
      </c>
      <c r="D33" s="212">
        <f t="shared" ref="D33:E33" si="2">D31/D30</f>
        <v>-1.6688883075682091E-2</v>
      </c>
      <c r="E33" s="212">
        <f t="shared" si="2"/>
        <v>-1.6688883075681914E-2</v>
      </c>
    </row>
    <row r="34" spans="2:5" ht="16" thickTop="1"/>
  </sheetData>
  <mergeCells count="1">
    <mergeCell ref="B2:E2"/>
  </mergeCells>
  <conditionalFormatting sqref="C31:E31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C33:E33">
    <cfRule type="cellIs" dxfId="9" priority="1" operator="lessThan">
      <formula>0%</formula>
    </cfRule>
    <cfRule type="cellIs" dxfId="8" priority="2" operator="greaterThan">
      <formula>0%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Supuestos</vt:lpstr>
      <vt:lpstr>Inversiones</vt:lpstr>
      <vt:lpstr>Suplemento y Heno</vt:lpstr>
      <vt:lpstr>Gastos Operativos</vt:lpstr>
      <vt:lpstr>Costos Pradera</vt:lpstr>
      <vt:lpstr>Costos Pradera+Heno </vt:lpstr>
      <vt:lpstr>Costos Pradera+Suplemento</vt:lpstr>
      <vt:lpstr>Análisis Económico - Pradera</vt:lpstr>
      <vt:lpstr>Análisis Económico-Pradera+Heno</vt:lpstr>
      <vt:lpstr>Análisis Económico-Pradera+Supl</vt:lpstr>
      <vt:lpstr>Análisis 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Marvin Josue Calix Morales</cp:lastModifiedBy>
  <dcterms:created xsi:type="dcterms:W3CDTF">2023-10-07T14:15:48Z</dcterms:created>
  <dcterms:modified xsi:type="dcterms:W3CDTF">2024-02-09T00:13:02Z</dcterms:modified>
</cp:coreProperties>
</file>